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1\Внесення змін\рішення сесій 2021 рік\19 сесія 8 скликання- позачергова\Внесення змін до бюджету\"/>
    </mc:Choice>
  </mc:AlternateContent>
  <bookViews>
    <workbookView xWindow="2805" yWindow="5790" windowWidth="21600" windowHeight="8640"/>
  </bookViews>
  <sheets>
    <sheet name="Лист1" sheetId="1" r:id="rId1"/>
  </sheets>
  <definedNames>
    <definedName name="_xlnm._FilterDatabase" localSheetId="0" hidden="1">Лист1!$A$8:$AZ$246</definedName>
    <definedName name="_xlnm.Print_Area" localSheetId="0">Лист1!$A$1:$J$248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1" i="1" l="1"/>
  <c r="I30" i="1" l="1"/>
  <c r="L16" i="1" l="1"/>
  <c r="L80" i="1"/>
  <c r="L197" i="1"/>
  <c r="L75" i="1"/>
  <c r="L201" i="1"/>
  <c r="L74" i="1"/>
  <c r="L63" i="1"/>
  <c r="I118" i="1" l="1"/>
  <c r="I129" i="1"/>
  <c r="I181" i="1"/>
  <c r="I125" i="1"/>
  <c r="I58" i="1"/>
  <c r="L222" i="1" l="1"/>
  <c r="L122" i="1" l="1"/>
  <c r="L108" i="1" l="1"/>
  <c r="L231" i="1"/>
  <c r="I54" i="1" l="1"/>
  <c r="I57" i="1"/>
  <c r="I90" i="1"/>
  <c r="M90" i="1" s="1"/>
  <c r="G91" i="1"/>
  <c r="M91" i="1"/>
  <c r="M83" i="1"/>
  <c r="M58" i="1" l="1"/>
  <c r="I18" i="1"/>
  <c r="I13" i="1" l="1"/>
  <c r="I37" i="1"/>
  <c r="I38" i="1"/>
  <c r="I39" i="1"/>
  <c r="I40" i="1"/>
  <c r="I36" i="1"/>
  <c r="I45" i="1"/>
  <c r="I46" i="1"/>
  <c r="I44" i="1"/>
  <c r="I67" i="1"/>
  <c r="I66" i="1"/>
  <c r="I48" i="1"/>
  <c r="I47" i="1" s="1"/>
  <c r="I34" i="1"/>
  <c r="I9" i="1"/>
  <c r="I32" i="1" l="1"/>
  <c r="L187" i="1"/>
  <c r="L232" i="1" l="1"/>
  <c r="L76" i="1"/>
  <c r="L67" i="1" l="1"/>
  <c r="L73" i="1" l="1"/>
  <c r="L230" i="1"/>
  <c r="I16" i="1" l="1"/>
  <c r="L185" i="1" l="1"/>
  <c r="M35" i="1" l="1"/>
  <c r="I15" i="1"/>
  <c r="G188" i="1"/>
  <c r="I188" i="1" s="1"/>
  <c r="I182" i="1"/>
  <c r="I183" i="1"/>
  <c r="G183" i="1" s="1"/>
  <c r="M95" i="1"/>
  <c r="M94" i="1"/>
  <c r="I93" i="1"/>
  <c r="I92" i="1" s="1"/>
  <c r="L181" i="1"/>
  <c r="M15" i="1" l="1"/>
  <c r="I59" i="1"/>
  <c r="I19" i="1"/>
  <c r="M60" i="1"/>
  <c r="M14" i="1"/>
  <c r="I12" i="1"/>
  <c r="M190" i="1"/>
  <c r="L149" i="1"/>
  <c r="M111" i="1" l="1"/>
  <c r="M221" i="1"/>
  <c r="M199" i="1" l="1"/>
  <c r="M214" i="1"/>
  <c r="M209" i="1"/>
  <c r="M213" i="1"/>
  <c r="G213" i="1"/>
  <c r="M205" i="1"/>
  <c r="G205" i="1"/>
  <c r="M202" i="1"/>
  <c r="M201" i="1"/>
  <c r="M197" i="1"/>
  <c r="I208" i="1" l="1"/>
  <c r="M208" i="1" s="1"/>
  <c r="I207" i="1"/>
  <c r="M73" i="1"/>
  <c r="M74" i="1"/>
  <c r="L110" i="1"/>
  <c r="L179" i="1"/>
  <c r="M207" i="1" l="1"/>
  <c r="L89" i="1"/>
  <c r="I89" i="1" l="1"/>
  <c r="L228" i="1" l="1"/>
  <c r="L226" i="1"/>
  <c r="M194" i="1"/>
  <c r="L227" i="1" l="1"/>
  <c r="L56" i="1" l="1"/>
  <c r="M121" i="1"/>
  <c r="M122" i="1"/>
  <c r="M231" i="1"/>
  <c r="L184" i="1" l="1"/>
  <c r="L30" i="1" l="1"/>
  <c r="M72" i="1"/>
  <c r="L79" i="1"/>
  <c r="M79" i="1" s="1"/>
  <c r="M78" i="1"/>
  <c r="M76" i="1"/>
  <c r="M75" i="1"/>
  <c r="L43" i="1"/>
  <c r="L102" i="1" l="1"/>
  <c r="N115" i="1"/>
  <c r="L147" i="1" l="1"/>
  <c r="L186" i="1"/>
  <c r="L85" i="1" l="1"/>
  <c r="L225" i="1" l="1"/>
  <c r="L81" i="1" l="1"/>
  <c r="L182" i="1" l="1"/>
  <c r="L173" i="1" l="1"/>
  <c r="L243" i="1" l="1"/>
  <c r="L86" i="1" l="1"/>
  <c r="L145" i="1" l="1"/>
  <c r="L93" i="1"/>
  <c r="M179" i="1" l="1"/>
  <c r="I184" i="1" l="1"/>
  <c r="I191" i="1" l="1"/>
  <c r="I29" i="1"/>
  <c r="M82" i="1" l="1"/>
  <c r="I243" i="1"/>
  <c r="M218" i="1"/>
  <c r="M217" i="1"/>
  <c r="M216" i="1"/>
  <c r="I150" i="1"/>
  <c r="M150" i="1" s="1"/>
  <c r="I151" i="1"/>
  <c r="M151" i="1" s="1"/>
  <c r="I152" i="1"/>
  <c r="M152" i="1" s="1"/>
  <c r="I149" i="1"/>
  <c r="I186" i="1"/>
  <c r="I187" i="1"/>
  <c r="M187" i="1" s="1"/>
  <c r="M188" i="1"/>
  <c r="I185" i="1"/>
  <c r="M113" i="1"/>
  <c r="M117" i="1"/>
  <c r="L116" i="1"/>
  <c r="M116" i="1" s="1"/>
  <c r="M185" i="1" l="1"/>
  <c r="M186" i="1"/>
  <c r="M149" i="1"/>
  <c r="L206" i="1" l="1"/>
  <c r="L211" i="1"/>
  <c r="L210" i="1"/>
  <c r="L87" i="1" l="1"/>
  <c r="L229" i="1" l="1"/>
  <c r="L55" i="1" l="1"/>
  <c r="L88" i="1" l="1"/>
  <c r="L245" i="1" l="1"/>
  <c r="M112" i="1" l="1"/>
  <c r="I233" i="1" l="1"/>
  <c r="I245" i="1" l="1"/>
  <c r="M215" i="1" l="1"/>
  <c r="G215" i="1"/>
  <c r="G212" i="1"/>
  <c r="G211" i="1"/>
  <c r="M211" i="1"/>
  <c r="M212" i="1"/>
  <c r="L146" i="1" l="1"/>
  <c r="L101" i="1" l="1"/>
  <c r="I210" i="1"/>
  <c r="G121" i="1"/>
  <c r="I180" i="1"/>
  <c r="G182" i="1"/>
  <c r="M115" i="1"/>
  <c r="M232" i="1"/>
  <c r="M210" i="1" l="1"/>
  <c r="L9" i="1"/>
  <c r="M225" i="1" l="1"/>
  <c r="M226" i="1"/>
  <c r="M227" i="1"/>
  <c r="M228" i="1"/>
  <c r="M229" i="1"/>
  <c r="M230" i="1"/>
  <c r="M206" i="1"/>
  <c r="M93" i="1"/>
  <c r="L144" i="1"/>
  <c r="L125" i="1"/>
  <c r="M148" i="1" l="1"/>
  <c r="I158" i="1" l="1"/>
  <c r="I175" i="1"/>
  <c r="I126" i="1" s="1"/>
  <c r="M175" i="1" l="1"/>
  <c r="I124" i="1"/>
  <c r="M27" i="1"/>
  <c r="M178" i="1"/>
  <c r="M130" i="1"/>
  <c r="M147" i="1"/>
  <c r="M146" i="1"/>
  <c r="I69" i="1" l="1"/>
  <c r="M81" i="1"/>
  <c r="M80" i="1"/>
  <c r="I22" i="1"/>
  <c r="M182" i="1"/>
  <c r="M183" i="1"/>
  <c r="M184" i="1"/>
  <c r="M88" i="1" l="1"/>
  <c r="I107" i="1" l="1"/>
  <c r="G41" i="1" l="1"/>
  <c r="M236" i="1" l="1"/>
  <c r="M224" i="1"/>
  <c r="L19" i="1" l="1"/>
  <c r="L134" i="1" l="1"/>
  <c r="L133" i="1"/>
  <c r="L131" i="1"/>
  <c r="M204" i="1" l="1"/>
  <c r="L192" i="1" l="1"/>
  <c r="M123" i="1" l="1"/>
  <c r="G174" i="1" l="1"/>
  <c r="G171" i="1"/>
  <c r="G173" i="1"/>
  <c r="G158" i="1"/>
  <c r="M56" i="1" l="1"/>
  <c r="G155" i="1" l="1"/>
  <c r="G156" i="1"/>
  <c r="G154" i="1"/>
  <c r="G146" i="1"/>
  <c r="G145" i="1"/>
  <c r="G144" i="1"/>
  <c r="G128" i="1"/>
  <c r="G131" i="1"/>
  <c r="G132" i="1"/>
  <c r="G133" i="1"/>
  <c r="G134" i="1"/>
  <c r="G127" i="1"/>
  <c r="G49" i="1"/>
  <c r="G50" i="1"/>
  <c r="G51" i="1"/>
  <c r="G42" i="1"/>
  <c r="G43" i="1"/>
  <c r="G33" i="1"/>
  <c r="G31" i="1"/>
  <c r="G30" i="1"/>
  <c r="I237" i="1" l="1"/>
  <c r="M240" i="1"/>
  <c r="M17" i="1"/>
  <c r="G17" i="1"/>
  <c r="M12" i="1"/>
  <c r="M19" i="1"/>
  <c r="M140" i="1" l="1"/>
  <c r="M141" i="1"/>
  <c r="M142" i="1"/>
  <c r="M143" i="1"/>
  <c r="G103" i="1"/>
  <c r="G104" i="1"/>
  <c r="G105" i="1"/>
  <c r="G106" i="1"/>
  <c r="G107" i="1"/>
  <c r="G110" i="1"/>
  <c r="G120" i="1"/>
  <c r="G119" i="1"/>
  <c r="G135" i="1"/>
  <c r="G136" i="1"/>
  <c r="G137" i="1"/>
  <c r="G138" i="1"/>
  <c r="G140" i="1"/>
  <c r="G141" i="1"/>
  <c r="G142" i="1"/>
  <c r="G143" i="1"/>
  <c r="G153" i="1"/>
  <c r="G157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2" i="1"/>
  <c r="G177" i="1"/>
  <c r="G234" i="1"/>
  <c r="G239" i="1"/>
  <c r="G238" i="1"/>
  <c r="M34" i="1"/>
  <c r="G93" i="1" l="1"/>
  <c r="M16" i="1" l="1"/>
  <c r="G196" i="1" l="1"/>
  <c r="G198" i="1"/>
  <c r="G200" i="1"/>
  <c r="G203" i="1"/>
  <c r="G69" i="1" l="1"/>
  <c r="G68" i="1"/>
  <c r="G66" i="1"/>
  <c r="G63" i="1"/>
  <c r="L7" i="1" l="1"/>
  <c r="M11" i="1" l="1"/>
  <c r="M239" i="1" l="1"/>
  <c r="M238" i="1"/>
  <c r="M203" i="1"/>
  <c r="M200" i="1"/>
  <c r="M245" i="1" l="1"/>
  <c r="I244" i="1"/>
  <c r="M109" i="1"/>
  <c r="M242" i="1" l="1"/>
  <c r="M243" i="1"/>
  <c r="M234" i="1"/>
  <c r="I85" i="1" l="1"/>
  <c r="I61" i="1" s="1"/>
  <c r="M174" i="1" l="1"/>
  <c r="M173" i="1"/>
  <c r="M145" i="1"/>
  <c r="M172" i="1"/>
  <c r="M171" i="1"/>
  <c r="M144" i="1"/>
  <c r="M198" i="1"/>
  <c r="I241" i="1"/>
  <c r="M110" i="1"/>
  <c r="M241" i="1" l="1"/>
  <c r="M233" i="1"/>
  <c r="M222" i="1"/>
  <c r="M220" i="1"/>
  <c r="M89" i="1" l="1"/>
  <c r="L162" i="1" l="1"/>
  <c r="M162" i="1" s="1"/>
  <c r="L161" i="1"/>
  <c r="M161" i="1" s="1"/>
  <c r="L168" i="1"/>
  <c r="M168" i="1" s="1"/>
  <c r="L166" i="1"/>
  <c r="M166" i="1" s="1"/>
  <c r="L160" i="1"/>
  <c r="M160" i="1" s="1"/>
  <c r="L169" i="1"/>
  <c r="M169" i="1" s="1"/>
  <c r="L159" i="1"/>
  <c r="L165" i="1"/>
  <c r="M165" i="1" s="1"/>
  <c r="L163" i="1"/>
  <c r="M163" i="1" s="1"/>
  <c r="M10" i="1"/>
  <c r="M13" i="1"/>
  <c r="M21" i="1"/>
  <c r="M22" i="1"/>
  <c r="M24" i="1"/>
  <c r="M30" i="1"/>
  <c r="M31" i="1"/>
  <c r="M33" i="1"/>
  <c r="M41" i="1"/>
  <c r="M42" i="1"/>
  <c r="M43" i="1"/>
  <c r="M48" i="1"/>
  <c r="M49" i="1"/>
  <c r="M50" i="1"/>
  <c r="M51" i="1"/>
  <c r="M55" i="1"/>
  <c r="M63" i="1"/>
  <c r="M66" i="1"/>
  <c r="M67" i="1"/>
  <c r="M68" i="1"/>
  <c r="M69" i="1"/>
  <c r="M71" i="1"/>
  <c r="M86" i="1"/>
  <c r="M87" i="1"/>
  <c r="M98" i="1"/>
  <c r="M102" i="1"/>
  <c r="M103" i="1"/>
  <c r="M104" i="1"/>
  <c r="M105" i="1"/>
  <c r="M106" i="1"/>
  <c r="M107" i="1"/>
  <c r="M108" i="1"/>
  <c r="M119" i="1"/>
  <c r="M120" i="1"/>
  <c r="M127" i="1"/>
  <c r="M128" i="1"/>
  <c r="M131" i="1"/>
  <c r="M132" i="1"/>
  <c r="M133" i="1"/>
  <c r="M134" i="1"/>
  <c r="M135" i="1"/>
  <c r="M136" i="1"/>
  <c r="M137" i="1"/>
  <c r="M138" i="1"/>
  <c r="M139" i="1"/>
  <c r="M153" i="1"/>
  <c r="M154" i="1"/>
  <c r="M155" i="1"/>
  <c r="M156" i="1"/>
  <c r="M157" i="1"/>
  <c r="M158" i="1"/>
  <c r="M164" i="1"/>
  <c r="M167" i="1"/>
  <c r="M170" i="1"/>
  <c r="M177" i="1"/>
  <c r="M192" i="1"/>
  <c r="M196" i="1"/>
  <c r="L99" i="1" l="1"/>
  <c r="M159" i="1"/>
  <c r="M181" i="1" l="1"/>
  <c r="I195" i="1" l="1"/>
  <c r="I193" i="1" s="1"/>
  <c r="G195" i="1" l="1"/>
  <c r="M195" i="1"/>
  <c r="M125" i="1" l="1"/>
  <c r="M85" i="1"/>
  <c r="I97" i="1"/>
  <c r="I23" i="1" l="1"/>
  <c r="M23" i="1" s="1"/>
  <c r="M9" i="1" l="1"/>
  <c r="I101" i="1"/>
  <c r="I100" i="1" l="1"/>
  <c r="I99" i="1" s="1"/>
  <c r="M99" i="1" s="1"/>
  <c r="M101" i="1"/>
  <c r="I20" i="1" l="1"/>
  <c r="I8" i="1" s="1"/>
  <c r="I7" i="1" s="1"/>
  <c r="I246" i="1" l="1"/>
  <c r="M20" i="1"/>
  <c r="M7" i="1" l="1"/>
</calcChain>
</file>

<file path=xl/sharedStrings.xml><?xml version="1.0" encoding="utf-8"?>
<sst xmlns="http://schemas.openxmlformats.org/spreadsheetml/2006/main" count="592" uniqueCount="339">
  <si>
    <t>Додаток 6</t>
  </si>
  <si>
    <t>РОЗПОДІЛ</t>
  </si>
  <si>
    <t>×</t>
  </si>
  <si>
    <t>Код Функціональної класифікації видатків та кредитування бюджету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</si>
  <si>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</si>
  <si>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</si>
  <si>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</si>
  <si>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Х</t>
  </si>
  <si>
    <t>0110150</t>
  </si>
  <si>
    <t>01 Бучанська міська рада</t>
  </si>
  <si>
    <t>Капітальні видатки (придбання предметів довгострокового використання)</t>
  </si>
  <si>
    <t>0116030</t>
  </si>
  <si>
    <t>За рахунок коштів бюджету розвитку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</si>
  <si>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</si>
  <si>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</si>
  <si>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</si>
  <si>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</si>
  <si>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</si>
  <si>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0620</t>
  </si>
  <si>
    <t>Організація благоустрою населених пунктів</t>
  </si>
  <si>
    <t>0456</t>
  </si>
  <si>
    <t xml:space="preserve">ВСЬОГО </t>
  </si>
  <si>
    <t>0180</t>
  </si>
  <si>
    <t>0617321</t>
  </si>
  <si>
    <t>0443</t>
  </si>
  <si>
    <t>0117441</t>
  </si>
  <si>
    <t>Утримання та розвиток мостів/шляхопроводів</t>
  </si>
  <si>
    <t>Капітальний ремонт огорожі комунальної власності по вул.Польова в м.Буча Київської області</t>
  </si>
  <si>
    <t>0117322</t>
  </si>
  <si>
    <t>0117370</t>
  </si>
  <si>
    <t>Реалізація інших заходів щодо соціально-економічного розвитку територій</t>
  </si>
  <si>
    <t>0116011</t>
  </si>
  <si>
    <t>0610</t>
  </si>
  <si>
    <t>Експлуатація та технічне обслуговування житлового фонду</t>
  </si>
  <si>
    <t xml:space="preserve">Капітальний ремонт покрівлі житлового будинку комунальної власності по вул. Героїв Майдану,10  в м.Буча Київської області </t>
  </si>
  <si>
    <t xml:space="preserve">Капітальний ремонт покрівлі житлового будинку комунальної власності по вул. Героїв Майдану,15  в м.Буча Київської області </t>
  </si>
  <si>
    <t>0119750</t>
  </si>
  <si>
    <t>0119770</t>
  </si>
  <si>
    <t>Інші субвенції з місцевого бюджету</t>
  </si>
  <si>
    <t>Капітальний ремонт дороги комунальної власності по вул.Проектна №1 (від а/д Т 10-01 до вул.Промислова) в м.Буча Київської області (співфінансування)</t>
  </si>
  <si>
    <t xml:space="preserve">Підтримка громадських проектів (Громадський бюджет) </t>
  </si>
  <si>
    <t>Будівництво амбулаторії загальної практики сімейної медицини  комунальної власності по вул.Травневій, 66 в смт.Бабинці Київської області (співфінансування)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</si>
  <si>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</si>
  <si>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</si>
  <si>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 xml:space="preserve">Техніко – економічне обґрунтування будівництва автомобільної дороги між А/Д М-07 Київ – Ковель до А/Д Гостомель – Берестянка - Мирча </t>
  </si>
  <si>
    <t>Капітальний ремонт "Навчально-виховний комплекс "Синяківський хіміко-технологічний ліцей закладу загальноосвітньої середньої освіти І-ІІ ступенів" Київської області</t>
  </si>
  <si>
    <t>капітальний ремонт дороги комунальної власності з тротуаром по вул.Горького (від вул.Депутатська до №6) в м.Буча Київської області (співфінансування)</t>
  </si>
  <si>
    <t>Будівництво освітніх установ та закладів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</si>
  <si>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вул.Травневій,66 в смт.Бабинці Бучанської міської територіальної громади Київської області</t>
  </si>
  <si>
    <t>0112080</t>
  </si>
  <si>
    <t>0721</t>
  </si>
  <si>
    <t>Амбулаторно-поліклінічна допомога населенню, крім первинної медичної допомоги</t>
  </si>
  <si>
    <t xml:space="preserve">Підтримка об"єднань співвласників багатоквартирних будинків, житлово-будівельних кооперативів, управителів багатоквартирних будинків у Бучанський міський територіальній громаді </t>
  </si>
  <si>
    <t>Будівництво дошкільного дитячого закладу на 75 місць в с.Бабинці Київської області (співфінансування)</t>
  </si>
  <si>
    <t>0990</t>
  </si>
  <si>
    <t>0611200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</si>
  <si>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</si>
  <si>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</si>
  <si>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</t>
  </si>
  <si>
    <t>0116040</t>
  </si>
  <si>
    <t>Заходи, пов’язані з поліпшенням питної води</t>
  </si>
  <si>
    <t>0621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</si>
  <si>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 за рахунок співфінансування</t>
  </si>
  <si>
    <t xml:space="preserve">Надання освіти за рахунок субвенції з державного бюджету місцевим бюджетам на надання державної підтримки особам з особливими освітніми потребами </t>
  </si>
  <si>
    <t>Будівництво медичних установ та закладів</t>
  </si>
  <si>
    <t>0617368</t>
  </si>
  <si>
    <t xml:space="preserve">Виконання інвестиційних проектів за рахунок субвенцій з інших бюджетів </t>
  </si>
  <si>
    <t>Капітальний ремонт дороги комунальної власності по вул Назарія Яремчука (від вул Івана Кожедуба до вул. Яблунська) в м.Буча Київської області (співфінансування)</t>
  </si>
  <si>
    <t>0160</t>
  </si>
  <si>
    <t>1010160</t>
  </si>
  <si>
    <t>Керівництво і управління у відповідній сфері у містах (місті Києві), селищах, селах, територіальних громадах</t>
  </si>
  <si>
    <t>Капітальний ремонт приміщень відділу культури, національностей та релігій Бучанської міської ради за адресою :м.Буча, вул. Героїв Майдану,15</t>
  </si>
  <si>
    <t xml:space="preserve">10 Відділ культури, національностей та релігій Бучанської міської ради </t>
  </si>
  <si>
    <t xml:space="preserve">06 Відділ освіти Бучанської міської ради </t>
  </si>
  <si>
    <t xml:space="preserve">Секретар ради       ______________________________________________________________________________ Тарас ШАПРАВСЬКИЙ                                           </t>
  </si>
  <si>
    <t>Каса</t>
  </si>
  <si>
    <t xml:space="preserve">01 КП "Бучабудзамовник"Бучанської міської ради </t>
  </si>
  <si>
    <t xml:space="preserve">01 КП "Бучазеленбуд" Бучанської міської ради </t>
  </si>
  <si>
    <t>Розробка техніко - економічного обґрунтування проектної документації "Будівництво підземного автомобільного переїзду в районі  залізничної станції міста Буча"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</si>
  <si>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</si>
  <si>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</si>
  <si>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</si>
  <si>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Розробка робочої документації "Проект з експериментального будівництва об'єкту інженерно - транспортної інфраструктури, а саме: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</si>
  <si>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 xml:space="preserve">11 Відділ молоді та спорту Бучанської міської ради </t>
  </si>
  <si>
    <t>1115041</t>
  </si>
  <si>
    <t>Утримання та фінансова підтримка спортивних споруд</t>
  </si>
  <si>
    <t>0810</t>
  </si>
  <si>
    <t>3711060</t>
  </si>
  <si>
    <t xml:space="preserve">37 Фінансове управління Бучанської міської ради </t>
  </si>
  <si>
    <t>1014060</t>
  </si>
  <si>
    <t>Забезпечення діяльності палаців i будинків культури, клубів, центрів дозвілля та iнших клубних закладів</t>
  </si>
  <si>
    <t>0828</t>
  </si>
  <si>
    <t xml:space="preserve">Капітальні видатки (придбання предметів довгострокового використання) </t>
  </si>
  <si>
    <t>Придбання комплекту охоронної сигналізації для Будинків культури Бучанської міської територіальної громади (м.Буча,вул.Яблунська,15;с.Гаврилівка,вул. Свято - Троїцька,6)</t>
  </si>
  <si>
    <t>0118230</t>
  </si>
  <si>
    <t>Інші заходи громадського порядку та безпеки</t>
  </si>
  <si>
    <t>0380</t>
  </si>
  <si>
    <t>01 КП «Бучасервіс» Бучанської міської ради</t>
  </si>
  <si>
    <t>01  КП «Бучасервіс» Бучанської міської ради</t>
  </si>
  <si>
    <t xml:space="preserve">Авторський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</si>
  <si>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 xml:space="preserve">Технічний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</si>
  <si>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Тарасівська, 14-а»</t>
  </si>
  <si>
    <t>розкидувач сівалка</t>
  </si>
  <si>
    <t>Рекнострукція існуючої мережі водпостачання комунальної власності по вул.Михайленка в с.Гаврилівка Київської області</t>
  </si>
  <si>
    <t>Проектна документація "Капітальний ремонт зупинкових майданчиків між вул.Нова та а/д Т 1011 в с.Здвижівка Київської області"</t>
  </si>
  <si>
    <t>Проектна документація "Будівництво дитячого майданчика між вул. Лісова та вул. Незалежності в с.Буда-Бабинецька Київської області"</t>
  </si>
  <si>
    <t>Проектна документація "Реконструкція дитячого майданчика по вул. Незалежності поряд з 21 б в с.Буда-Бабинецька Київської області"</t>
  </si>
  <si>
    <t>Проектна документація "Рекнострукція існуючої мережі водпостачання комунальної власності по вул.Михайленка в с.Гаврилівка Київської області"</t>
  </si>
  <si>
    <t>Проектна документація "Капітальний ремонт системи водовідведення по вул.Свято - Троїцька в с.Гаврилівка Київської області"</t>
  </si>
  <si>
    <t>Проектна документація "Капітальний ремонт системи водовідведення по вул.Петровського (біля №16) в с.Блиставиця Київської області"</t>
  </si>
  <si>
    <t>Проектна документація "Капітальний ремонт дороги комунальної власності між вул.Яблунська та а/д Т 10-01 в м.Буча Київської області"</t>
  </si>
  <si>
    <t>Проектна документація "Капітальний ремонт дороги комунальної власності по вул.Проектна №3 в м.Буча Київської області "</t>
  </si>
  <si>
    <t>Проектна документація "Капітальний ремонт дороги комунальної власності між вул. Лесі Українки та бульвару Б.Хмельницького в м.Буча Київської області.Коригування"</t>
  </si>
  <si>
    <t>Капітальний ремонт дороги комунальної власності по вул.Революції вздовж будинків №14з-14к в м.Буча Київської області</t>
  </si>
  <si>
    <t>Проектна документація "Капітальний ремонт тротуару комунальної власності між бульваром Б.Хмельницького та вул.Вишнева в м.Буча Київської області"</t>
  </si>
  <si>
    <t>Проектна документація "Реконструкція дороги комунальної власності по вул.Польова від вул.Енергетиків в м.Буча Київської області"</t>
  </si>
  <si>
    <t>Проектна документація "Капітальний ремонт доріг комунальної властності в межах вул. І.Руденко,М.Мурашка, сім'ї Забарило із влаштуванням кільцевої транспортної розв'язки по бул.Б.Хмельницького із під'їздом до центру надання соцільних послуг "Прозорий офіс" в м.Буча Київської області"</t>
  </si>
  <si>
    <t>0110180</t>
  </si>
  <si>
    <t xml:space="preserve">01 Архівний відділ Бучанської міської ради </t>
  </si>
  <si>
    <t>Інша діяльність у сфері державного управління</t>
  </si>
  <si>
    <t>0133</t>
  </si>
  <si>
    <t>Будівництво інших об`єктів комунальної власності</t>
  </si>
  <si>
    <t>0117330</t>
  </si>
  <si>
    <t>Придбання у комунальну власність 58/100 частки нежитлової двоповерхової адміністративної будівлі, що розташована за адресою: Київська область, с. Блиставиця, вулиця Ярослава Мудрого,1</t>
  </si>
  <si>
    <t>Придбання у комунальну власність Бучанської міської територіальної громади нежитлових приміщень  156 та 157 за адресою м.Буча, вул.К.Білокур, буд.1-а для розміщення амбулаторії сімейного типу</t>
  </si>
  <si>
    <t>Капітальний ремонт прибудинкової території житловго будинку комунальної власності по вул.Садова,7 в с.Гаврилівка Київської області</t>
  </si>
  <si>
    <t>Капітальний ремонт прибудинкової території житловго будинку комунальної власності по вул.Садова,12 в с.Гаврилівка Київської області</t>
  </si>
  <si>
    <t>Капітальний ремонт прибудинкової території житловго будинку комунальної власності по вул.Садова,16 в с.Гаврилівка Київської області</t>
  </si>
  <si>
    <t>Капітальний ремонт прибудинкової території житловго будинку комунальної власності по вул.Садова,18 в с.Гаврилівка Київської області</t>
  </si>
  <si>
    <t>Проектна документація "Капітальний ремонт прибудинкової території житловго будинку комунальної власності по вул.Садова,18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</si>
  <si>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вул.Садова,16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</si>
  <si>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вул.Садова,12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</si>
  <si>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вул.Садова,7 в с.Гаврилівка Київської області"</t>
  </si>
  <si>
    <t>Капітальний ремонт дороги з тротуаром комунальної власності по провул.Євгена Гребінки в м.Буча Київської області</t>
  </si>
  <si>
    <t>Проектна документація "Капітальний ремонт дороги з тротуаром комунальної власності по провул.Євгена Гребінки в м.Буча Київської областіі"</t>
  </si>
  <si>
    <t>Проектна документація "Капітальний ремонт дороги комунальної власності по вул.Гоголя (від вул.Антонія Михайловського до вул.Інституська) в м.Буча Київської області.Коригування"</t>
  </si>
  <si>
    <t>Проектна документація "Капітальний ремонт дороги комунальної власності по вул.Інституська (від вул.Тургенєва до вул.Революції) в м.Буча Київської області.Коригування"</t>
  </si>
  <si>
    <t>Проектна документація " Капітальний ремонт дороги комунальної власності з тротуаром по вул. Горького (від вул. Депутатська до №6 ) в м. Буча Київської області"</t>
  </si>
  <si>
    <t>Проектна документація "Капітальний ремонт дороги комунальної власності по вул.Виноградна в м.Буча Київської області "</t>
  </si>
  <si>
    <t>Капітальний ремонт спеціалізованого автомобіля та встановлення додаткового обладнання (бункер-піскорозкидач в комплекті із запчастинами)</t>
  </si>
  <si>
    <t>Проектна документація "Будівництво зупиок громадського транспорту біля ЖК "Forest Land" в м.Буча Київської області"</t>
  </si>
  <si>
    <t>0617366</t>
  </si>
  <si>
    <t>Реалізація проектів в рамках Надзвичайної кредитної програми для відновлення України</t>
  </si>
  <si>
    <t>Залишок плану</t>
  </si>
  <si>
    <t xml:space="preserve"> Logica номерація об'єктів</t>
  </si>
  <si>
    <t>За рахунок субвенції</t>
  </si>
  <si>
    <t>Розробка проектної документації по об’єкту «Будівництво адміністративної будівлі для облаштування приміщень ЦНАП у с.Синяк, Бучанської міської об’єднаної територіальної громади, Київської області по вул.Київська» (нове будівництво)»</t>
  </si>
  <si>
    <t xml:space="preserve">08 Управління соціальної політики Бучанської міської ради </t>
  </si>
  <si>
    <t>0817323</t>
  </si>
  <si>
    <t>Будівництво установ та закладів соціальної сфери</t>
  </si>
  <si>
    <t>1110160</t>
  </si>
  <si>
    <t>Капітальний ремонт дороги комунальної власності по вул.Гоголя (від вул.Києво - Мироцька до вул. Старояблунська) в м.Буча Київської області</t>
  </si>
  <si>
    <t>Капітальний ремонт огорожі кладовища комунальної власності по вул.Депутатська в м.Буча Київської області</t>
  </si>
  <si>
    <t>Капітальний ремонт тротуару комунальної власності між бульв.Б.Хмельницького та вул. Вишнева в м.Буча Київської області</t>
  </si>
  <si>
    <t>Капітальний ремонт дороги комунальної власності по пров.Санаторний ( від вул.Польова до пров.Героїв Майдану) в м.Буча Київської області</t>
  </si>
  <si>
    <t>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</t>
  </si>
  <si>
    <t>Капітальний ремонт мереж вуличного освітлення комунальної власності по вул.Ватутіна (від вул.Шевченко до вул.Михайловського) в м.Буча Київської області</t>
  </si>
  <si>
    <t>Капітальний ремонт дороги комунальної властності між вул. Лесі Українки та бульв. Б.Хмельницького в м.Буча Київської області. Додаткові роботи</t>
  </si>
  <si>
    <t xml:space="preserve">Технічний нагляд по об’єкту: « Капітальний ремонт дороги комунальної властності між вул. Лесі Українки та бульв. Б.Хмельницького в м.Буча Київської області. Додаткові роботи» </t>
  </si>
  <si>
    <t>Розробка проектно-кошторисної документації на проведення капітального ремонту "Капітальний ремонт приміщення спортивної зали в Будинку культури «Полісся» в с. Гаврилівка Київської області"</t>
  </si>
  <si>
    <t>Виготовлення проектно-кошторисної документації по об'єкту будівництву "Реконструкція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області"</t>
  </si>
  <si>
    <t>Виготовлення проектно-кошторисної документації стадії "РП" розділу "Електропостачання" для об'єкту: "Електропостачання.Будівництво дошкільного дитячого закладу на 144 місця по вул.Лесі Українки в м.Буча Київської області"</t>
  </si>
  <si>
    <t>Коригування кошторисної частини проектно-кошторисної документації по об'єкту "Реконструкція адміністративної будівлі з прибудовою вхідної групи по бульвару Б.Хмельницького,5/5А,м.Буча, Київської області"</t>
  </si>
  <si>
    <t>0116082</t>
  </si>
  <si>
    <t>Придбання житла для окремих категорій населення відповідно до законодавства</t>
  </si>
  <si>
    <t>Придбання у комунальну власність житла для надання в тимчасове користування внутрішньо переміщеним особам ( співфінансування 30%)</t>
  </si>
  <si>
    <t>Будівництво дошкільного дитячого закладу на 144 місця по вул.Лесі Українки в м.Буча Київської області.Коригування</t>
  </si>
  <si>
    <t xml:space="preserve">Будівництво дошкільного дитячого закладу на 144 місця по вул.Лесі Українки в м.Буча Київської області.Коригування </t>
  </si>
  <si>
    <t>Розробка проектної документації по об’єкту "Реконструкція адміністративної будівлі за адресою: Київської області, с.Блиставиця, вул. Ярослва мудрого, буд.1-А"</t>
  </si>
  <si>
    <t>Розроблення проектно-кошторисної документації по об"єкту "Капітальний ремонт озеленення із влаштуванням  автоматичного поливу парку  козацького побуту в межах вулиць Шевченка та Тургенєва в м.Буча Київської області"</t>
  </si>
  <si>
    <t>Розроблення проектно-кошторисної документації по об"єкту "Капітальний ремонт озеленення з облаштування майданчиків та влаштування системи автоматичного поливу біля озера у Бучанському міському парку в м.Буча Київської області"</t>
  </si>
  <si>
    <t>Капітальний ремонт  освітлення скейт-парку у Бучанському міському парку в м.Буча Київської області</t>
  </si>
  <si>
    <t>Реконструкція фонтану на Київській площи в м.Буча Київської області</t>
  </si>
  <si>
    <t xml:space="preserve">Виготовлення проектно – кошторисної документації по об’єкту «Реконструкція дороги по вул. Нове Шосе (від вул. Шевченка до А/Д Т10-01 Ворзель – Забуччя) в м.Буча Київської області» </t>
  </si>
  <si>
    <t xml:space="preserve"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 </t>
  </si>
  <si>
    <t>0800000</t>
  </si>
  <si>
    <t>0600000</t>
  </si>
  <si>
    <t>0100000</t>
  </si>
  <si>
    <t>1100000</t>
  </si>
  <si>
    <t>1000000</t>
  </si>
  <si>
    <t>Рівень виконання робіт на почтаок бюджетного періоду, %</t>
  </si>
  <si>
    <t>X</t>
  </si>
  <si>
    <t>Рівень готовності об'єкта на кінець бюджетного періоду, %</t>
  </si>
  <si>
    <t>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у 2021 році</t>
  </si>
  <si>
    <t>2021-2022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</si>
  <si>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</si>
  <si>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</si>
  <si>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</si>
  <si>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об’єкта будівництва/вид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</si>
  <si>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</si>
  <si>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</si>
  <si>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Обсяг видатків бюджету розвитку, які спрямовуються на будівництво об"єкта у бюджетному періоді, гривень</t>
  </si>
  <si>
    <t>0117361</t>
  </si>
  <si>
    <t>Співфінансування інвестиційних проектів, що реалізуються за рахунок коштів державного фонду регіонального розвитку</t>
  </si>
  <si>
    <t xml:space="preserve"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Склозаводська, 12-б» </t>
  </si>
  <si>
    <t>Реконструкція з добудовою загальноосвітньої школи №1 І-ІІІ ступенів по вул. Малиновського,74 в м.Буча Київської області. Коригування (співфінансування)</t>
  </si>
  <si>
    <t>Будівництво футбольного поля із штучним покриттям та біговою доріжкою на території ЗОШ №6, по вул.Соборна,27 в с.Блиставиця, Київської області</t>
  </si>
  <si>
    <t xml:space="preserve">Будівництво дошкільного закладу на 144 місця по вул. Лесі Українки в м.Буча Київської області. Коригування </t>
  </si>
  <si>
    <t>Коригування проектно-кошторисної документації по об"єкту "Реконструкція з добудовою загальноосвітньої школи №1 І-ІІІ ступенів по вул.Малиновського,74 в м.Буча Київської області. Коригування"</t>
  </si>
  <si>
    <t>Виготовлення проектно-кошторисної документації по "Будівництву дошкільного дитячого закладу на 75 місць в с.Бабинці Київської області"</t>
  </si>
  <si>
    <t>Виготовлення проектно-кошторисної документації по об'єкту ництву "Капітальний ремонт приміщень Бучанського навчального-виховного комплексу "Спеціалізована загальноосвітня школа І-ІІІ ступенів - загальноосвітня школаІ-ІІІ" №2 по вул.Шевченка,14 в м. Буча Київської області"</t>
  </si>
  <si>
    <t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</t>
  </si>
  <si>
    <t xml:space="preserve"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 </t>
  </si>
  <si>
    <t>Реконструкція з добудовою загальноосвітньої школи №1 І-ІІІ ступенів по вул. Малиновського,74 в м.Буча Київської області.Коригування</t>
  </si>
  <si>
    <t xml:space="preserve">Проведення технічного обстеження по об'єкту  «Реконструкція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області»  </t>
  </si>
  <si>
    <t>6360</t>
  </si>
  <si>
    <t>1014030</t>
  </si>
  <si>
    <t>Забезпечення діяльності бібліотек</t>
  </si>
  <si>
    <t>0824</t>
  </si>
  <si>
    <t>2021-2023</t>
  </si>
  <si>
    <t>Капітальний ремонт приміщення амбулаторії загальної практики-сімейної медицини комунальної власності (утеплення фасадів та заміна вікон) по вул. Європейська № 4-Д в сел. Ворзель, Київської області</t>
  </si>
  <si>
    <t xml:space="preserve"> придбання легкових автомобілів</t>
  </si>
  <si>
    <t xml:space="preserve">Проходження державної експертизи проектно-кошторисної документації по об'єкту   «Капітальний ремонт щодо покращення енергозбереження будівлі Бучанської загальноосвітня школа І-ІІІ №3 по вул.Вокзальна,46А в м. Буча Київської області. Коригування»  </t>
  </si>
  <si>
    <t>підмітально-прибиральну установку Брод Скандія</t>
  </si>
  <si>
    <t>придбання стелажів та станка для прошивки документів,принтер</t>
  </si>
  <si>
    <t>багатофункціональні пристрої, придбання легкових автомобілів,комп.</t>
  </si>
  <si>
    <t>реверсний мотоблок в комплекті з насівним обладненням,косарки бензинові</t>
  </si>
  <si>
    <t>проектор</t>
  </si>
  <si>
    <t>автомобіль</t>
  </si>
  <si>
    <t>0617363</t>
  </si>
  <si>
    <t>0817363</t>
  </si>
  <si>
    <t>Реконструкція адміністративної будівлі з прибудовою вхідної групи по бул. Б. Хмельницького, 5/5а, м. Буча, Київської області</t>
  </si>
  <si>
    <t xml:space="preserve">Капітальний ремонт туалетних приміщень в Комунальному закладі « Синяківський хіміко-технологічний ліцей- заклад загальної середньої освіти I-II ступенів» №15 в с. Синяк, Київської області </t>
  </si>
  <si>
    <t>0611061</t>
  </si>
  <si>
    <t>0921</t>
  </si>
  <si>
    <t>Надання загальної середньої освіти закладами загальної середньої освіти</t>
  </si>
  <si>
    <t xml:space="preserve">Капітальний ремонт туалетних приміщень в Комунальному закладі « Луб'янський заклад загальної середньої освіти I-II ступенів» №7 в с. Луб'янка, Київської області </t>
  </si>
  <si>
    <t xml:space="preserve">Капітальний ремонт туалетних приміщень в Комунальному закладі « Бабинецький заклад загальної середньої освіти I-III ступенів» № 13 в смт. Бабинці Київської області </t>
  </si>
  <si>
    <t xml:space="preserve">Капітальний ремонт туалетних приміщень в Комунальному закладі « Ворзельський заклад загальної середньої освіти I-III ступенів №10» Бучанської міської ради Київської області </t>
  </si>
  <si>
    <t xml:space="preserve">Капітальний ремонт туалетних приміщень в Комунальному закладі « Блиставицький заклад загальної середньої освіти I-III ступенів №6» Бучанської міської ради </t>
  </si>
  <si>
    <t xml:space="preserve">Капітальний ремонт туалетних приміщень в Комунальному закладі « Гаврилівський заклад загальної середньої освіти I-III ступенів №8» Бучанської міської ради </t>
  </si>
  <si>
    <t>Реконструкція фонтану, що розташований в межах дитячої зони в Бучанському міському парку в м. Буча Київської області</t>
  </si>
  <si>
    <t>цифровий перетворювач для мамографа, моноблоки</t>
  </si>
  <si>
    <t>Будівництво спортивного блоку в комплексі з будівлями загальноосвітньої школи № 2 по вул.Шевченка, 14 в м. Буча (Коригування)</t>
  </si>
  <si>
    <t xml:space="preserve">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</t>
  </si>
  <si>
    <t>Капітальний ремонт благоустрою території комунальної власності по вул. Польова в м. Буча Київської області</t>
  </si>
  <si>
    <t>Капітальний ремонт-озеленення по вул. Київська в с. Синяк Бучанського району Київської області</t>
  </si>
  <si>
    <t xml:space="preserve">Виготовлення проектно-кошторисної документації по об'єкту 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 </t>
  </si>
  <si>
    <t xml:space="preserve">Технічний нагляд по об’єкту  «Капітальний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 </t>
  </si>
  <si>
    <t>Авторський нагляд по об’єкту  «Капітальний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</t>
  </si>
  <si>
    <t>Авторський нагляд по об’єкту  "Реконструкція з добудовою загальноосвітньої школи №1 І-ІІІ ступенів по вул.Малиновського,74 в м.Буча Київської області. Коригування"</t>
  </si>
  <si>
    <t>Технічний нагляд по об’єкту  « 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даху).Коригування.»</t>
  </si>
  <si>
    <t xml:space="preserve">Авторський нагляд по об’єкту « 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даху).Коригування.» </t>
  </si>
  <si>
    <t>Виготовлення проектно – кошторисної документації по об’єкту «Будівництво дошкільного дитячого закладу на 144 місця по вул. Лесі Українки в м. Буча Київської області.(Робочі креслення)»</t>
  </si>
  <si>
    <t xml:space="preserve">Технічний нагляд по об’єкту «Будівництво дошкільного дитячого закладу на 144 місця по вул. Лесі Українки в м. Буча Київської області. Коригування»  </t>
  </si>
  <si>
    <t xml:space="preserve">Технічний нагляд по об’єкту « Будівництво спортивного блоку в комплексі з будівлями загальноосвітньої школи № 2 по вул.Шевченка, 14 в м. Буча (Залишки).Коригування» </t>
  </si>
  <si>
    <t>Виготовлення проектно – кошторисної документації по об’єкту «Будівництво спортивного блоку в комплексі з будівлями загальноосвітньої школи № 2 по вул. Шевченка, в м. Буча. Реконструкція системи газопостачання котельні»</t>
  </si>
  <si>
    <t>Капітальний ремонт системи водовідведення по вул. Тюменцева-Хвилі в м. Буча Київської області</t>
  </si>
  <si>
    <t>Встановлення на об'єктах бюджетної сфери м. Буча індивідуальних теплових пунктів з погодним регулюванням</t>
  </si>
  <si>
    <t>Субвенція з місцевого бюджету на співфінансування інвестиційних проектів</t>
  </si>
  <si>
    <t>Капітальний ремонт дороги комунальної власності по вул. Тюльпанова в сел. Ворзель Київської області</t>
  </si>
  <si>
    <t>Капітальний ремонт мереж вуличного освітлення в с. Здвижівка</t>
  </si>
  <si>
    <t>Забезпечення діяльності водопровідно-каналізаційного господарства</t>
  </si>
  <si>
    <t>0116013</t>
  </si>
  <si>
    <t>Технічний нагляд по об'єкту "Капітальний ремонт дороги комунальної власності по вул. Інститутська ( від вул. Тургенєва до вул. Революції) в м. Буча Київської області)"</t>
  </si>
  <si>
    <t>Капітальний ремонт приміщень Бучанського навчально-виховного комплексу " Спеціалізована загальноосвітня школа I-III ступенів- загальноосвітня школа I-III ступенів №2 по вул. Шевченка,14 в м. Буча Київської області"</t>
  </si>
  <si>
    <t>Капітальний ремонт будівлі загальноосвітньої школи №2 по вул. Шевченка,14 в м. Буча Київської області ( утеплення фасадів та заміна покриття даху) ( співфінансування)</t>
  </si>
  <si>
    <t>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( співфінансування)</t>
  </si>
  <si>
    <t>моноблок</t>
  </si>
  <si>
    <t>Розроблення проектної документації стадії « робочий проєкт» по об'єкту « Будівництво очисних споруд комунальної власності за адресою Київська область, Бучанський район, с. Блиставиця вул. Ярослава Мудрого, б, 1-а»</t>
  </si>
  <si>
    <t>Розроблення проектної документації стадії « робочий проєкт» по об'єкту « Будівництво котельні комунальної власності за адресою Київська область, Бучанський район, с. Блиставиця, вулиця Ярослава Мудрого, б. 3-а»</t>
  </si>
  <si>
    <t>Капітальний ремонт мереж вуличного освітлення по вул. Б. Гмирі в м. Буча Київської області</t>
  </si>
  <si>
    <t>0611182</t>
  </si>
  <si>
    <t>Виконання заходів, спрямованих на забезпечення якісної, сучасної та доступної загальної середньої освіти « Нова українська школа» за рахунок субвенції з державного бюджету місцевим бюджетам</t>
  </si>
  <si>
    <t>Придбання у комунальну власність житла для надання в тимчасове користування внутрішньо переміщеним особам</t>
  </si>
  <si>
    <t>Капітальний ремонт харчоблоку Комунального закладу « Синяківський хіміко-технологічний ліцей»- заклад загальної середньої освіти I-II ступенів» № 15 в с. Синяк, Київської області»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</si>
  <si>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вул.Котляревського, 21-б в смт.Ворзель Бучанської міської територіальної громади Київської області</t>
  </si>
  <si>
    <t>Капітальний ремонт групових приміщень Мироцького закладу дошкільної освіти № 13 « Лелеченя» Бучанської міської ради Київської області в с. Мироцьке, Київської області</t>
  </si>
  <si>
    <t>Капітальний ремонт шкільних приміщень Комунального закладу « Синяківський хіміко-технологічний ліцей – заклад загальної середньої освіти I-II ступенів» № 15 в с. Синяк, Київської області</t>
  </si>
  <si>
    <t>Капітальний ремонт актової зали Комунального закладу « Здвижівська гімназія № 14» в с. Здвижівка, Київської області</t>
  </si>
  <si>
    <t>Будівництво зони відпочинку навколо озера по вул. Т. Шевченка в с. Мироцьке Бучанського району Київської області</t>
  </si>
  <si>
    <t>Реконструкція фонтану на Київській площі, в м. Буча Київської області</t>
  </si>
  <si>
    <t xml:space="preserve">Придбання телемедичного обладнання для амбулаторій загальної практики-сімейної медицини в с. Блиставиця ( вул. Єдності 1а), с. Луб'янка ( вул. Шевченка 93), сел. Ворзель ( вул. Котляревського, 21 б), с. Мироцьке ( вул. Центральна, 3)
</t>
  </si>
  <si>
    <t>Капітальний ремонт велодоріжки комунальної власності у нижні частині Бучанського міського парку в м. Буча Київської області</t>
  </si>
  <si>
    <t>Капітальний ремонт системи автоматичного поливу по вул. Київська в с. Синяк Бучанського району Київської області</t>
  </si>
  <si>
    <t>Капітальний ремонт-озеленення по вул. Нове Шосе ( між бульв. Б. Хмельницького та вул. Вишнева) в м. Буча Київської області</t>
  </si>
  <si>
    <t>Капітальний ремонт благоустрою території- влаштування спортивного майданчику біля озера Бучанського міського парку в м. Буча Київської області</t>
  </si>
  <si>
    <t>Капітальний ремонт покрівель трансформаторних підстанцій в м. Буча Київської області</t>
  </si>
  <si>
    <t>Розроблення проектної документації  «Капітальний ремонт велодоріжки комунальної власності по вул. А. Михайловського ( від вул. Сілезька до вул. Тургенєва) в м. Буча Київської області</t>
  </si>
  <si>
    <t>Розроблення проектної документації « Капітальний ремонт велодоріжки комунальної власності по вул. Тургенєва ( від вул. Інститутська до №8)в м. Буча Київської області</t>
  </si>
  <si>
    <t>Розроблення проектної документації « Капітальний ремонт пішохідної зони між вул. Леха Качинського та пров. Богдана Ступки ( біля будинку № 129) в м. Буча Київської області</t>
  </si>
  <si>
    <t>Капітальний ремонт приміщень амбулаторії загальної практики- сімейної медицини комунальної власності по вул. Європейська, 4-д в сел. Ворзель Київської області</t>
  </si>
  <si>
    <t>0611021</t>
  </si>
  <si>
    <t>Надання загальної середньої освіти за рахунок коштів місцевого бюджету</t>
  </si>
  <si>
    <t>Реконструкція адміністративної будівлі за адресою :Київська обл., Бучанський район, с. Блиставиця, вул. Ярослава Мудрого буд.1-А</t>
  </si>
  <si>
    <t xml:space="preserve">Комплексної експертизи якості проектних рішень  по об'єкту будівництва « будівництво дошкільного навчального закладу на 75 місць в смт. Бабинці Бучанського району Київської області по вул. Травневій,70» Нове будівництво» </t>
  </si>
  <si>
    <t>Технічний нагляд по об'єкту будівництва « Капітальний ремонт приміщень Бучанського навчально-виховного комплексу « Спеціалізована загальноосвітня школа I-III ступенів – загальноосвітня школа I-III ступенів»  № 2 по вул. Шевченка, 14  в м. Буча Київської області»</t>
  </si>
  <si>
    <t>Авторський нагляд по об'єкту будівництва « Капітальний ремонт приміщень Бучанського навчально-виховного комплексу « Спеціалізована загальноосвітня школа I-III ступенів – загальноосвітня школа I-III ступенів»  № 2 по вул. Шевченка, 14  в м. Буча Київської області»</t>
  </si>
  <si>
    <t>Реконструкція котельні НВК « Синяківський хіміко-технологічний ліцей – ЗЗСО I-III ступенів» № 15 за адресою: Київська область, Вишгородський район, с. Синяк, вул. Київська, 49А</t>
  </si>
  <si>
    <t>Капітальний ремонт фасаду ( шкільний мурал ) в Бучанському навчально-виховному комплексі « Спеціалізована загальноосвітня школа I-III ступенів – загальноосвітня школа I-III ступенів» №4 по вул. Енергетиків ,2 в м. Буча Київської області</t>
  </si>
  <si>
    <t>Придбання інноваційної техніки для створення сучасної бібліотеки в Комунальному закладів « Ворзельський заклад загальної середньої освіти I-III ступенів №10» Бучанської міської ради Київської області»</t>
  </si>
  <si>
    <t>Виготовлення проектно-кошторисної документації стадії « Робочий проект» за розділом « Система пожежної сигналізації та оповіщення про пожежу» по об'єкту будівництва « Будівництво дошкільного навчального закладу на 75 місць в смт. Бабинці Бучанського району Київської області по вул. Травневій,70 « Нове будівництво»</t>
  </si>
  <si>
    <t xml:space="preserve">Виготовлення проектно-кошторисної документації в розділі « Енергоефективність» по об'єкту будівництва « Будівництво дошкільного навчального закладу на 75 місць в смт. Бабинці Бучанського району Київської області по вул. Травневій,70» Нове будівництво» </t>
  </si>
  <si>
    <t>0291</t>
  </si>
  <si>
    <t>Виготовлення проектно-кошторисної документації стадії "РП" розділу "Електропостачання" для об'єкту: "Електропостачання.Будівництву дитячого садка на 75 місць в с.Синяк Вишгородського району Київської області"</t>
  </si>
  <si>
    <t>Будівництво спортивного блоку в комплексі з будівлями загальноосвітньої школи №2 по вул. Шевченка,14 в м. Буча ( Залишки). Коригування (співфінансування)</t>
  </si>
  <si>
    <t xml:space="preserve">Виготовлення проектно-кошторисної документації по об'єкту "Капітальний ремонт будівлі загальноосвітньої школи №2 по вул.Шевченка,14 в м. Буча Київської області (утеплення фасадів та заміна покриття даху)"( співфінансування) </t>
  </si>
  <si>
    <t>Додаткові роботи по об'єкту будівництва « Будівництво дошкільного навчального закладу на 144 місця по вул. Лесі українки в м. Буча Київської області»( співфінансування)</t>
  </si>
  <si>
    <t>0611210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</si>
  <si>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</si>
  <si>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Коригування проектно-кошторисної документації "Будівництво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(співфінансування)"</t>
  </si>
  <si>
    <t>7363</t>
  </si>
  <si>
    <t>01 КНП "Бучанський центр первинної медико-санітарної допомоги" Бучанської міської ради</t>
  </si>
  <si>
    <t>01 КНП "Бучанський консультативно-діагностичний центр"  Бучанської міської ради</t>
  </si>
  <si>
    <t>Співфінансування за рахунок місцевого бюджету у розмірі 70% вартості по об'єкту « Капітальний ремонт міжбудинкового проїзду та тротуару за адресою Київська область, м. Буча, вул. Тарасівська,10-В»</t>
  </si>
  <si>
    <t>01 ЖБК « Ірпіньмаш-2»</t>
  </si>
  <si>
    <t>«Капітальний ремонт щодо покращення енергозбереження будівлі Ворзельської початкової загальноосвітньої школи I ступеня № 11 комунальної власності вул. Березова,5, селищі Ворзель Київської обл.» Коригування</t>
  </si>
  <si>
    <t>0118110</t>
  </si>
  <si>
    <t>Заходи із запобігання та ліквідації надзвичайних ситуацій та наслідків стихійного лиха</t>
  </si>
  <si>
    <t xml:space="preserve">Капітальний ремонт нежитлового приміщення комунальної властності "Рада хаб - місце, що об'єднує людей" по вул. Центральна 102 в с.Здвижівка Бучанського району Київської області (Підтримка громадських проектів (Громадський бюджет) </t>
  </si>
  <si>
    <t xml:space="preserve">Капітальний ремонт дятчого майданчику комунальної властності "Джунглі" по вул.Заводська, 45 в с. Бабинці Бучанського району Київської області (Підтримка громадських проектів (Громадський бюджет) </t>
  </si>
  <si>
    <t xml:space="preserve"> Розроблення проектно-кошторисної документації по об'єкту « Будівництво зони відпочинку навколо озера по вул. Тараса Шевченка в с. Мироцьке Бучанського району Київської областіі»</t>
  </si>
  <si>
    <t>Реконструкція водогону комунальної власності по вул. Ватутіна(від буд.54 до 42) с. Ворзель, Бучанського району, Київської області</t>
  </si>
  <si>
    <t>Будівництво водогону по вул. Пушкіна (від вул. Березова до вул. Героїв Ворзеля) с. Ворзель, Бучанського району, Київської області</t>
  </si>
  <si>
    <t>Будівництво водогону по вул. Котляревського (від вул. Чкалова до вул. Березова) с. Ворзель, Бучанського району, Київської області</t>
  </si>
  <si>
    <t xml:space="preserve">Капітальний ремонт спортивно – ігрового простору для дітей різних вікових груп на земельній ділянці комунальної властності бульвар Б. Хмельницького, 6 в м. Буча Київської області (Громадський бюджет) </t>
  </si>
  <si>
    <t>Капітальний ремонт пішохідної зони між вул. Травнева та вул. Кооперативна(біля селищної ради) в сел. Бабинці Київської області</t>
  </si>
  <si>
    <t>Капітальний ремонт велодоріжки комунальної власності по вул. А. Михайловського ( від вул. Сілезька до вул. Тургенєва) в м. Буча Київської області</t>
  </si>
  <si>
    <t>Капітальний ремонт велодоріжки комунальної власності по вул. Тургенєва ( від вул. Інститутська до №8)в м. Буча Київської області</t>
  </si>
  <si>
    <t>Капітальний ремонт пішохідної зони між вул. Леха Качинського та пров. Богдана Ступки ( біля будинку № 129) в м. Буча Київської області</t>
  </si>
  <si>
    <t>Капітальний ремонт благоустрою території між вул. Травнева та вул. Кооперативна (біля селищної ради) в сел. Бабинці Київської області</t>
  </si>
  <si>
    <t>Придбання у комунальну власність Бучанської міської територіальної громади нежитлової будівлі загальною площею 876,3 кв. м, що розташована за адресою: Київська область, м. Буча, вул. Енергетиків, 1 -А</t>
  </si>
  <si>
    <t>Реконструкція дороги комунальної власності по вул. Паркова від озера Бучанського міського парку до вул. Сілезька в м. Буча Київської області</t>
  </si>
  <si>
    <t>2020-2021</t>
  </si>
  <si>
    <t>Реконструкція дороги комунальної власності по бульвару Леоніда Бірюкова в м. Буча Київської області</t>
  </si>
  <si>
    <t>Капітальний ремонт щодо покращення енергозбереження будівлі Ворзельської початкової загальноосвітньої школи I ступеня № 11 комунальної власності вул. Березова,5, селищі Ворзель Київської обл. Коригування (співфінансування)</t>
  </si>
  <si>
    <t>Заміна та перенесення приладу обліку «електропостачання» по об’єкту  «Реконструкція з добудовою загальноосвітньої школи №1 І-ІІІ ступенів по вул. Малиновського,74 в м.Буча Київської област</t>
  </si>
  <si>
    <t>Розроблення проектно – кошторисної документації « Будівництво футбольного поля із штучним покриттям та біговою доріжкою на території ЗОШ №6, по вул.Соборна,27 в с. Блиставиця, Київської області</t>
  </si>
  <si>
    <t>Проведення технічно нагляду по об'єкту « Будівництво футбольного поля із штучним покриттям та біговою доріжкою на території ЗОШ №6, по вул.Соборна,27 в с. Блиставиця, Київської області</t>
  </si>
  <si>
    <t>Авторський нагляд по об’єкту « Будівництво спортивного блоку в комплексі з будівлями загальноосвітньої школи № 2 по вул. Шевченка, 14 в м. Буча (Залишки). Коригування</t>
  </si>
  <si>
    <t>Капітальний ремонт нежитлового приміщення №69 Управління соціальної політики Бучанської міської ради за адресою: м. Буча, вул. Енергетиків,19</t>
  </si>
  <si>
    <t>Капітальний ремонт перехрестя доріг комунальної власності між вул. Л. Качинського та вул. Інститутська в м. Буча Київської області</t>
  </si>
  <si>
    <t>Інша діяльність, пов’язана з експлуатацією об’єктів житлово-комунального господарства</t>
  </si>
  <si>
    <t xml:space="preserve">Капітальний ремонт території комунальної власності бази КП « Бучасервіс» по вул. Л. Качинського, 1-А в м. Буча Київської області </t>
  </si>
  <si>
    <t xml:space="preserve">Будівництво дошкільного навчального закладу на 75 місць в с. Синяк Бучанського району Київської області. ( Благоустрій прилеглої території) </t>
  </si>
  <si>
    <t xml:space="preserve">Надання спеціальної освіти мистецькими школами </t>
  </si>
  <si>
    <t>1011080</t>
  </si>
  <si>
    <t>0960</t>
  </si>
  <si>
    <t xml:space="preserve">до рішення Бучанської міської ради № 2161 -19-VIIІ від  13.10.2021р. (позачергова) "Про внесення змін до рішення 5 сесії Бучанської міської ради VIIІ  скликання від 24.12.2020р. №124-5- VIIІ" Про місцевий бюджет Бучанської міської територіальної громади на 2021 рік"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</si>
</sst>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₽"/>
    <numFmt numFmtId="165" formatCode="0.0%"/>
  </numFmts>
  <fonts count="27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3" fillId="0" borderId="0" applyFont="0" applyFill="0" applyBorder="0" applyAlignment="0" applyProtection="0"/>
  </cellStyleXfs>
  <cellXfs count="304">
    <xf numFmtId="0" fontId="0" fillId="0" borderId="0" xfId="0"/>
    <xf numFmtId="0" fontId="1" fillId="0" borderId="0" xfId="0" applyFont="1"/>
    <xf numFmtId="0" fontId="3" fillId="0" borderId="0" xfId="0" applyFont="1"/>
    <xf numFmtId="0" fontId="7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5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9" fillId="4" borderId="2" xfId="0" applyFont="1" applyFill="1" applyBorder="1" applyAlignment="1">
      <alignment vertical="center" wrapText="1" shrinkToFit="1"/>
    </xf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5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4" fontId="9" fillId="4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" fillId="0" borderId="0" xfId="0" applyFont="1" applyFill="1" applyAlignment="1">
      <alignment horizontal="right"/>
    </xf>
    <xf numFmtId="4" fontId="1" fillId="0" borderId="0" xfId="0" applyNumberFormat="1" applyFont="1" applyFill="1"/>
    <xf numFmtId="0" fontId="1" fillId="0" borderId="0" xfId="0" applyFont="1" applyBorder="1"/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" fontId="1" fillId="0" borderId="0" xfId="0" applyNumberFormat="1" applyFont="1" applyBorder="1"/>
    <xf numFmtId="0" fontId="12" fillId="0" borderId="0" xfId="0" applyFont="1" applyFill="1" applyBorder="1"/>
    <xf numFmtId="0" fontId="1" fillId="0" borderId="0" xfId="0" applyFont="1" applyFill="1" applyBorder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horizontal="center" vertical="center" wrapText="1" shrinkToFit="1"/>
    </xf>
    <xf numFmtId="1" fontId="11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 shrinkToFit="1"/>
    </xf>
    <xf numFmtId="0" fontId="11" fillId="3" borderId="1" xfId="0" applyFont="1" applyFill="1" applyBorder="1"/>
    <xf numFmtId="0" fontId="14" fillId="6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 shrinkToFit="1"/>
    </xf>
    <xf numFmtId="1" fontId="5" fillId="3" borderId="1" xfId="0" applyNumberFormat="1" applyFont="1" applyFill="1" applyBorder="1" applyAlignment="1">
      <alignment vertical="center" wrapText="1" shrinkToFit="1"/>
    </xf>
    <xf numFmtId="1" fontId="5" fillId="3" borderId="3" xfId="0" applyNumberFormat="1" applyFont="1" applyFill="1" applyBorder="1" applyAlignment="1">
      <alignment vertical="center" wrapText="1" shrinkToFit="1"/>
    </xf>
    <xf numFmtId="1" fontId="14" fillId="3" borderId="1" xfId="0" applyNumberFormat="1" applyFont="1" applyFill="1" applyBorder="1" applyAlignment="1">
      <alignment horizontal="center" vertical="center" wrapText="1" shrinkToFit="1"/>
    </xf>
    <xf numFmtId="0" fontId="5" fillId="0" borderId="3" xfId="0" quotePrefix="1" applyFont="1" applyFill="1" applyBorder="1" applyAlignment="1">
      <alignment horizontal="center" vertical="center" wrapText="1" shrinkToFit="1"/>
    </xf>
    <xf numFmtId="0" fontId="11" fillId="3" borderId="3" xfId="0" applyFont="1" applyFill="1" applyBorder="1"/>
    <xf numFmtId="2" fontId="15" fillId="2" borderId="1" xfId="0" applyNumberFormat="1" applyFont="1" applyFill="1" applyBorder="1" applyAlignment="1">
      <alignment horizontal="center" vertical="center" wrapText="1" shrinkToFit="1"/>
    </xf>
    <xf numFmtId="0" fontId="14" fillId="0" borderId="1" xfId="0" applyFont="1" applyBorder="1" applyAlignment="1">
      <alignment wrapTex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 applyFill="1" applyAlignment="1">
      <alignment horizontal="center"/>
    </xf>
    <xf numFmtId="0" fontId="5" fillId="3" borderId="1" xfId="0" quotePrefix="1" applyFont="1" applyFill="1" applyBorder="1" applyAlignment="1">
      <alignment horizontal="center" vertical="center" wrapText="1" shrinkToFit="1"/>
    </xf>
    <xf numFmtId="0" fontId="14" fillId="6" borderId="1" xfId="0" applyFont="1" applyFill="1" applyBorder="1" applyAlignment="1">
      <alignment horizontal="left" vertical="center" wrapText="1" shrinkToFit="1"/>
    </xf>
    <xf numFmtId="49" fontId="11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17" fillId="0" borderId="0" xfId="0" applyFont="1"/>
    <xf numFmtId="164" fontId="1" fillId="0" borderId="1" xfId="0" applyNumberFormat="1" applyFont="1" applyFill="1" applyBorder="1"/>
    <xf numFmtId="0" fontId="13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1" fillId="0" borderId="3" xfId="0" quotePrefix="1" applyFont="1" applyFill="1" applyBorder="1" applyAlignment="1">
      <alignment horizontal="center" vertical="center" wrapText="1" shrinkToFit="1"/>
    </xf>
    <xf numFmtId="0" fontId="11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64" fontId="18" fillId="0" borderId="1" xfId="0" applyNumberFormat="1" applyFont="1" applyFill="1" applyBorder="1"/>
    <xf numFmtId="164" fontId="19" fillId="0" borderId="1" xfId="0" applyNumberFormat="1" applyFont="1" applyFill="1" applyBorder="1"/>
    <xf numFmtId="164" fontId="20" fillId="7" borderId="1" xfId="0" applyNumberFormat="1" applyFont="1" applyFill="1" applyBorder="1"/>
    <xf numFmtId="0" fontId="1" fillId="4" borderId="1" xfId="0" applyFont="1" applyFill="1" applyBorder="1"/>
    <xf numFmtId="0" fontId="1" fillId="3" borderId="1" xfId="0" applyFont="1" applyFill="1" applyBorder="1"/>
    <xf numFmtId="164" fontId="20" fillId="4" borderId="1" xfId="0" applyNumberFormat="1" applyFont="1" applyFill="1" applyBorder="1"/>
    <xf numFmtId="4" fontId="20" fillId="4" borderId="1" xfId="0" applyNumberFormat="1" applyFont="1" applyFill="1" applyBorder="1"/>
    <xf numFmtId="0" fontId="1" fillId="0" borderId="1" xfId="0" applyFont="1" applyBorder="1"/>
    <xf numFmtId="4" fontId="20" fillId="0" borderId="1" xfId="0" applyNumberFormat="1" applyFont="1" applyBorder="1"/>
    <xf numFmtId="0" fontId="1" fillId="8" borderId="0" xfId="0" applyFont="1" applyFill="1"/>
    <xf numFmtId="0" fontId="5" fillId="8" borderId="0" xfId="0" applyFont="1" applyFill="1"/>
    <xf numFmtId="0" fontId="13" fillId="0" borderId="5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9" fillId="4" borderId="4" xfId="0" applyFont="1" applyFill="1" applyBorder="1" applyAlignment="1">
      <alignment vertical="center" wrapText="1" shrinkToFi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quotePrefix="1" applyFont="1" applyFill="1" applyBorder="1" applyAlignment="1">
      <alignment horizontal="center" vertical="center"/>
    </xf>
    <xf numFmtId="4" fontId="14" fillId="4" borderId="1" xfId="0" applyNumberFormat="1" applyFont="1" applyFill="1" applyBorder="1" applyAlignment="1">
      <alignment horizontal="center" vertical="center" wrapText="1" shrinkToFit="1"/>
    </xf>
    <xf numFmtId="4" fontId="14" fillId="3" borderId="1" xfId="0" applyNumberFormat="1" applyFont="1" applyFill="1" applyBorder="1" applyAlignment="1">
      <alignment horizontal="center" vertical="center" wrapText="1" shrinkToFit="1"/>
    </xf>
    <xf numFmtId="4" fontId="7" fillId="3" borderId="1" xfId="0" applyNumberFormat="1" applyFont="1" applyFill="1" applyBorder="1" applyAlignment="1">
      <alignment horizontal="center" vertical="center" wrapText="1" shrinkToFit="1"/>
    </xf>
    <xf numFmtId="0" fontId="22" fillId="3" borderId="1" xfId="0" applyFont="1" applyFill="1" applyBorder="1" applyAlignment="1">
      <alignment horizontal="center" vertical="center" wrapText="1" shrinkToFit="1"/>
    </xf>
    <xf numFmtId="0" fontId="11" fillId="3" borderId="1" xfId="0" quotePrefix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4" fontId="9" fillId="3" borderId="1" xfId="0" applyNumberFormat="1" applyFont="1" applyFill="1" applyBorder="1" applyAlignment="1">
      <alignment horizontal="center" vertical="center" wrapText="1" shrinkToFit="1"/>
    </xf>
    <xf numFmtId="1" fontId="7" fillId="3" borderId="1" xfId="0" applyNumberFormat="1" applyFont="1" applyFill="1" applyBorder="1" applyAlignment="1">
      <alignment horizontal="center" vertical="center" wrapText="1" shrinkToFit="1"/>
    </xf>
    <xf numFmtId="1" fontId="14" fillId="4" borderId="1" xfId="0" applyNumberFormat="1" applyFont="1" applyFill="1" applyBorder="1" applyAlignment="1">
      <alignment horizontal="center" vertical="center" wrapText="1" shrinkToFit="1"/>
    </xf>
    <xf numFmtId="165" fontId="5" fillId="0" borderId="1" xfId="0" applyNumberFormat="1" applyFont="1" applyFill="1" applyBorder="1" applyAlignment="1">
      <alignment horizontal="center" vertical="center" wrapText="1" shrinkToFit="1"/>
    </xf>
    <xf numFmtId="9" fontId="11" fillId="0" borderId="1" xfId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/>
    </xf>
    <xf numFmtId="0" fontId="5" fillId="0" borderId="2" xfId="0" applyFont="1" applyFill="1" applyBorder="1" applyAlignment="1">
      <alignment wrapText="1" shrinkToFit="1"/>
    </xf>
    <xf numFmtId="4" fontId="7" fillId="4" borderId="1" xfId="0" applyNumberFormat="1" applyFont="1" applyFill="1" applyBorder="1" applyAlignment="1">
      <alignment horizontal="center" vertical="center" wrapText="1" shrinkToFit="1"/>
    </xf>
    <xf numFmtId="0" fontId="13" fillId="9" borderId="1" xfId="0" applyFont="1" applyFill="1" applyBorder="1" applyAlignment="1">
      <alignment horizontal="center" vertical="center"/>
    </xf>
    <xf numFmtId="164" fontId="1" fillId="9" borderId="1" xfId="0" applyNumberFormat="1" applyFont="1" applyFill="1" applyBorder="1"/>
    <xf numFmtId="0" fontId="16" fillId="9" borderId="1" xfId="0" applyFont="1" applyFill="1" applyBorder="1" applyAlignment="1">
      <alignment horizontal="center" vertical="center"/>
    </xf>
    <xf numFmtId="0" fontId="1" fillId="9" borderId="5" xfId="0" applyFont="1" applyFill="1" applyBorder="1"/>
    <xf numFmtId="0" fontId="5" fillId="0" borderId="4" xfId="0" applyFont="1" applyFill="1" applyBorder="1" applyAlignment="1">
      <alignment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4" fontId="5" fillId="0" borderId="4" xfId="0" applyNumberFormat="1" applyFont="1" applyFill="1" applyBorder="1" applyAlignment="1">
      <alignment horizontal="center" vertical="center" wrapText="1" shrinkToFit="1"/>
    </xf>
    <xf numFmtId="164" fontId="24" fillId="0" borderId="1" xfId="0" applyNumberFormat="1" applyFont="1" applyFill="1" applyBorder="1"/>
    <xf numFmtId="164" fontId="5" fillId="0" borderId="1" xfId="0" applyNumberFormat="1" applyFont="1" applyFill="1" applyBorder="1"/>
    <xf numFmtId="164" fontId="24" fillId="9" borderId="1" xfId="0" applyNumberFormat="1" applyFont="1" applyFill="1" applyBorder="1"/>
    <xf numFmtId="164" fontId="5" fillId="9" borderId="1" xfId="0" applyNumberFormat="1" applyFont="1" applyFill="1" applyBorder="1"/>
    <xf numFmtId="0" fontId="24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0" fontId="13" fillId="3" borderId="3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0" fontId="13" fillId="3" borderId="2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0" fontId="13" fillId="0" borderId="4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49" fontId="5" fillId="0" borderId="0" xfId="0" quotePrefix="1" applyNumberFormat="1" applyFont="1" applyFill="1" applyBorder="1" applyAlignment="1">
      <alignment vertical="center" wrapText="1" shrinkToFit="1"/>
    </xf>
    <xf numFmtId="49" fontId="5" fillId="0" borderId="1" xfId="0" quotePrefix="1" applyNumberFormat="1" applyFont="1" applyFill="1" applyBorder="1" applyAlignment="1">
      <alignment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1" fontId="11" fillId="0" borderId="2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/>
    <xf numFmtId="9" fontId="5" fillId="0" borderId="1" xfId="1" applyFont="1" applyFill="1" applyBorder="1" applyAlignment="1">
      <alignment horizontal="center" vertical="center" wrapText="1" shrinkToFit="1"/>
    </xf>
    <xf numFmtId="0" fontId="24" fillId="0" borderId="0" xfId="0" applyFont="1" applyFill="1"/>
    <xf numFmtId="0" fontId="16" fillId="0" borderId="5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vertical="center" wrapText="1" shrinkToFit="1"/>
    </xf>
    <xf numFmtId="164" fontId="24" fillId="0" borderId="1" xfId="0" applyNumberFormat="1" applyFont="1" applyFill="1" applyBorder="1" applyAlignment="1"/>
    <xf numFmtId="0" fontId="24" fillId="0" borderId="0" xfId="0" applyFont="1"/>
    <xf numFmtId="0" fontId="24" fillId="3" borderId="0" xfId="0" applyFont="1" applyFill="1"/>
    <xf numFmtId="0" fontId="24" fillId="5" borderId="0" xfId="0" applyFont="1" applyFill="1"/>
    <xf numFmtId="164" fontId="24" fillId="0" borderId="3" xfId="0" applyNumberFormat="1" applyFont="1" applyFill="1" applyBorder="1" applyAlignment="1"/>
    <xf numFmtId="164" fontId="24" fillId="0" borderId="4" xfId="0" applyNumberFormat="1" applyFont="1" applyFill="1" applyBorder="1" applyAlignment="1"/>
    <xf numFmtId="164" fontId="24" fillId="0" borderId="2" xfId="0" applyNumberFormat="1" applyFont="1" applyFill="1" applyBorder="1" applyAlignment="1"/>
    <xf numFmtId="0" fontId="16" fillId="0" borderId="1" xfId="0" applyFont="1" applyBorder="1" applyAlignment="1">
      <alignment horizontal="center" vertical="center"/>
    </xf>
    <xf numFmtId="164" fontId="24" fillId="0" borderId="1" xfId="0" applyNumberFormat="1" applyFont="1" applyBorder="1"/>
    <xf numFmtId="0" fontId="5" fillId="3" borderId="1" xfId="0" quotePrefix="1" applyFont="1" applyFill="1" applyBorder="1" applyAlignment="1">
      <alignment horizontal="center" vertical="center"/>
    </xf>
    <xf numFmtId="0" fontId="5" fillId="3" borderId="1" xfId="0" applyFont="1" applyFill="1" applyBorder="1"/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 applyAlignment="1">
      <alignment vertical="center"/>
    </xf>
    <xf numFmtId="0" fontId="16" fillId="3" borderId="2" xfId="0" applyFont="1" applyFill="1" applyBorder="1" applyAlignment="1">
      <alignment vertical="center"/>
    </xf>
    <xf numFmtId="0" fontId="5" fillId="0" borderId="1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0" fontId="16" fillId="0" borderId="4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5" fillId="0" borderId="0" xfId="0" applyFont="1" applyFill="1" applyAlignment="1">
      <alignment wrapText="1"/>
    </xf>
    <xf numFmtId="0" fontId="16" fillId="3" borderId="1" xfId="0" applyFont="1" applyFill="1" applyBorder="1" applyAlignment="1">
      <alignment horizontal="center" vertical="center"/>
    </xf>
    <xf numFmtId="164" fontId="24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24" fillId="4" borderId="0" xfId="0" applyFont="1" applyFill="1"/>
    <xf numFmtId="0" fontId="24" fillId="8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8" borderId="1" xfId="0" applyFont="1" applyFill="1" applyBorder="1" applyAlignment="1">
      <alignment horizontal="center" vertical="center"/>
    </xf>
    <xf numFmtId="164" fontId="24" fillId="8" borderId="1" xfId="0" applyNumberFormat="1" applyFont="1" applyFill="1" applyBorder="1"/>
    <xf numFmtId="0" fontId="20" fillId="7" borderId="1" xfId="0" applyFont="1" applyFill="1" applyBorder="1" applyAlignment="1">
      <alignment horizontal="center" vertical="center"/>
    </xf>
    <xf numFmtId="164" fontId="18" fillId="9" borderId="1" xfId="0" applyNumberFormat="1" applyFont="1" applyFill="1" applyBorder="1"/>
    <xf numFmtId="4" fontId="24" fillId="0" borderId="0" xfId="0" applyNumberFormat="1" applyFont="1" applyFill="1"/>
    <xf numFmtId="0" fontId="18" fillId="10" borderId="0" xfId="0" applyFont="1" applyFill="1"/>
    <xf numFmtId="0" fontId="5" fillId="0" borderId="7" xfId="0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/>
    <xf numFmtId="2" fontId="5" fillId="0" borderId="1" xfId="0" applyNumberFormat="1" applyFont="1" applyFill="1" applyBorder="1" applyAlignment="1">
      <alignment horizontal="left" vertical="center" wrapText="1" shrinkToFit="1"/>
    </xf>
    <xf numFmtId="164" fontId="26" fillId="0" borderId="1" xfId="0" applyNumberFormat="1" applyFont="1" applyFill="1" applyBorder="1"/>
    <xf numFmtId="0" fontId="16" fillId="9" borderId="5" xfId="0" applyFont="1" applyFill="1" applyBorder="1" applyAlignment="1">
      <alignment horizontal="center" vertical="center"/>
    </xf>
    <xf numFmtId="1" fontId="5" fillId="9" borderId="1" xfId="0" applyNumberFormat="1" applyFont="1" applyFill="1" applyBorder="1" applyAlignment="1">
      <alignment horizontal="center" vertical="center" wrapText="1" shrinkToFit="1"/>
    </xf>
    <xf numFmtId="1" fontId="11" fillId="9" borderId="1" xfId="0" applyNumberFormat="1" applyFont="1" applyFill="1" applyBorder="1" applyAlignment="1">
      <alignment horizontal="center" vertical="center" wrapText="1" shrinkToFit="1"/>
    </xf>
    <xf numFmtId="0" fontId="5" fillId="9" borderId="1" xfId="0" applyFont="1" applyFill="1" applyBorder="1"/>
    <xf numFmtId="4" fontId="5" fillId="9" borderId="4" xfId="0" applyNumberFormat="1" applyFont="1" applyFill="1" applyBorder="1" applyAlignment="1">
      <alignment horizontal="center" vertical="center" wrapText="1" shrinkToFit="1"/>
    </xf>
    <xf numFmtId="165" fontId="5" fillId="9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164" fontId="19" fillId="0" borderId="5" xfId="0" applyNumberFormat="1" applyFont="1" applyFill="1" applyBorder="1"/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8" fillId="0" borderId="0" xfId="0" applyFont="1" applyFill="1"/>
    <xf numFmtId="1" fontId="19" fillId="0" borderId="1" xfId="0" applyNumberFormat="1" applyFont="1" applyFill="1" applyBorder="1" applyAlignment="1">
      <alignment horizontal="center" vertical="center" wrapText="1" shrinkToFit="1"/>
    </xf>
    <xf numFmtId="164" fontId="10" fillId="0" borderId="1" xfId="0" applyNumberFormat="1" applyFont="1" applyFill="1" applyBorder="1"/>
    <xf numFmtId="49" fontId="25" fillId="0" borderId="4" xfId="0" quotePrefix="1" applyNumberFormat="1" applyFont="1" applyFill="1" applyBorder="1" applyAlignment="1">
      <alignment horizontal="center" vertical="center" wrapText="1" shrinkToFit="1"/>
    </xf>
    <xf numFmtId="49" fontId="25" fillId="0" borderId="2" xfId="0" quotePrefix="1" applyNumberFormat="1" applyFont="1" applyFill="1" applyBorder="1" applyAlignment="1">
      <alignment horizontal="center" vertical="center" wrapText="1" shrinkToFit="1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5" fillId="0" borderId="5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49" fontId="21" fillId="0" borderId="3" xfId="0" applyNumberFormat="1" applyFont="1" applyFill="1" applyBorder="1" applyAlignment="1">
      <alignment horizontal="center" vertical="center" wrapText="1" shrinkToFit="1"/>
    </xf>
    <xf numFmtId="49" fontId="21" fillId="0" borderId="4" xfId="0" applyNumberFormat="1" applyFont="1" applyFill="1" applyBorder="1" applyAlignment="1">
      <alignment horizontal="center" vertical="center" wrapText="1" shrinkToFit="1"/>
    </xf>
    <xf numFmtId="49" fontId="21" fillId="0" borderId="2" xfId="0" applyNumberFormat="1" applyFont="1" applyFill="1" applyBorder="1" applyAlignment="1">
      <alignment horizontal="center" vertical="center" wrapText="1" shrinkToFit="1"/>
    </xf>
    <xf numFmtId="49" fontId="5" fillId="0" borderId="5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11" fillId="3" borderId="3" xfId="0" quotePrefix="1" applyFont="1" applyFill="1" applyBorder="1" applyAlignment="1">
      <alignment horizontal="center" vertical="center"/>
    </xf>
    <xf numFmtId="0" fontId="11" fillId="3" borderId="4" xfId="0" quotePrefix="1" applyFont="1" applyFill="1" applyBorder="1" applyAlignment="1">
      <alignment horizontal="center" vertical="center"/>
    </xf>
    <xf numFmtId="0" fontId="11" fillId="3" borderId="2" xfId="0" quotePrefix="1" applyFont="1" applyFill="1" applyBorder="1" applyAlignment="1">
      <alignment horizontal="center" vertical="center"/>
    </xf>
    <xf numFmtId="0" fontId="5" fillId="3" borderId="3" xfId="0" quotePrefix="1" applyFont="1" applyFill="1" applyBorder="1" applyAlignment="1">
      <alignment horizontal="center" vertical="center"/>
    </xf>
    <xf numFmtId="0" fontId="5" fillId="3" borderId="4" xfId="0" quotePrefix="1" applyFont="1" applyFill="1" applyBorder="1" applyAlignment="1">
      <alignment horizontal="center" vertical="center"/>
    </xf>
    <xf numFmtId="0" fontId="5" fillId="3" borderId="2" xfId="0" quotePrefix="1" applyFont="1" applyFill="1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5" xfId="0" quotePrefix="1" applyNumberFormat="1" applyFont="1" applyFill="1" applyBorder="1" applyAlignment="1">
      <alignment horizontal="center" vertical="center" wrapText="1" shrinkToFit="1"/>
    </xf>
    <xf numFmtId="49" fontId="5" fillId="0" borderId="6" xfId="0" quotePrefix="1" applyNumberFormat="1" applyFont="1" applyFill="1" applyBorder="1" applyAlignment="1">
      <alignment horizontal="center" vertical="center" wrapText="1" shrinkToFit="1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0" fontId="5" fillId="0" borderId="6" xfId="0" quotePrefix="1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center" wrapText="1" shrinkToFit="1"/>
    </xf>
    <xf numFmtId="2" fontId="5" fillId="0" borderId="6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49" fontId="25" fillId="0" borderId="3" xfId="0" quotePrefix="1" applyNumberFormat="1" applyFont="1" applyFill="1" applyBorder="1" applyAlignment="1">
      <alignment horizontal="center" vertical="center" wrapText="1" shrinkToFi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 shrinkToFit="1"/>
    </xf>
    <xf numFmtId="0" fontId="9" fillId="4" borderId="4" xfId="0" applyFont="1" applyFill="1" applyBorder="1" applyAlignment="1">
      <alignment horizontal="center" vertical="center" wrapText="1" shrinkToFit="1"/>
    </xf>
    <xf numFmtId="49" fontId="5" fillId="3" borderId="3" xfId="0" applyNumberFormat="1" applyFont="1" applyFill="1" applyBorder="1" applyAlignment="1">
      <alignment horizontal="center" vertical="center" wrapText="1" shrinkToFit="1"/>
    </xf>
    <xf numFmtId="49" fontId="5" fillId="3" borderId="4" xfId="0" applyNumberFormat="1" applyFont="1" applyFill="1" applyBorder="1" applyAlignment="1">
      <alignment horizontal="center" vertical="center" wrapText="1" shrinkToFit="1"/>
    </xf>
    <xf numFmtId="49" fontId="5" fillId="3" borderId="2" xfId="0" applyNumberFormat="1" applyFont="1" applyFill="1" applyBorder="1" applyAlignment="1">
      <alignment horizontal="center" vertical="center" wrapText="1" shrinkToFit="1"/>
    </xf>
    <xf numFmtId="0" fontId="5" fillId="0" borderId="0" xfId="0" applyNumberFormat="1" applyFont="1" applyFill="1" applyAlignment="1" applyProtection="1">
      <alignment horizontal="left" vertical="center" wrapText="1"/>
    </xf>
    <xf numFmtId="0" fontId="5" fillId="0" borderId="5" xfId="0" quotePrefix="1" applyFont="1" applyFill="1" applyBorder="1" applyAlignment="1">
      <alignment horizontal="center" vertical="center" wrapText="1"/>
    </xf>
    <xf numFmtId="0" fontId="5" fillId="0" borderId="6" xfId="0" quotePrefix="1" applyFont="1" applyFill="1" applyBorder="1" applyAlignment="1">
      <alignment horizontal="center" vertical="center" wrapText="1"/>
    </xf>
    <xf numFmtId="0" fontId="5" fillId="0" borderId="7" xfId="0" quotePrefix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1" fontId="5" fillId="0" borderId="5" xfId="0" applyNumberFormat="1" applyFont="1" applyFill="1" applyBorder="1" applyAlignment="1">
      <alignment horizontal="center" vertical="center" wrapText="1" shrinkToFit="1"/>
    </xf>
    <xf numFmtId="1" fontId="5" fillId="0" borderId="7" xfId="0" applyNumberFormat="1" applyFont="1" applyFill="1" applyBorder="1" applyAlignment="1">
      <alignment horizontal="center" vertical="center" wrapText="1" shrinkToFit="1"/>
    </xf>
    <xf numFmtId="4" fontId="5" fillId="0" borderId="5" xfId="0" applyNumberFormat="1" applyFont="1" applyFill="1" applyBorder="1" applyAlignment="1">
      <alignment horizontal="center" vertical="center" wrapText="1" shrinkToFit="1"/>
    </xf>
    <xf numFmtId="4" fontId="5" fillId="0" borderId="7" xfId="0" applyNumberFormat="1" applyFont="1" applyFill="1" applyBorder="1" applyAlignment="1">
      <alignment horizontal="center" vertical="center" wrapText="1" shrinkToFit="1"/>
    </xf>
    <xf numFmtId="9" fontId="5" fillId="0" borderId="5" xfId="1" applyFont="1" applyFill="1" applyBorder="1" applyAlignment="1">
      <alignment horizontal="center" vertical="center" wrapText="1" shrinkToFit="1"/>
    </xf>
    <xf numFmtId="9" fontId="5" fillId="0" borderId="7" xfId="1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left" vertical="center" wrapText="1" shrinkToFit="1"/>
    </xf>
    <xf numFmtId="0" fontId="5" fillId="0" borderId="7" xfId="0" applyFont="1" applyFill="1" applyBorder="1" applyAlignment="1">
      <alignment horizontal="left" vertical="center" wrapText="1" shrinkToFit="1"/>
    </xf>
    <xf numFmtId="1" fontId="14" fillId="4" borderId="3" xfId="0" applyNumberFormat="1" applyFont="1" applyFill="1" applyBorder="1" applyAlignment="1">
      <alignment horizontal="center" vertical="center" wrapText="1" shrinkToFit="1"/>
    </xf>
    <xf numFmtId="1" fontId="14" fillId="4" borderId="4" xfId="0" applyNumberFormat="1" applyFont="1" applyFill="1" applyBorder="1" applyAlignment="1">
      <alignment horizontal="center" vertical="center" wrapText="1" shrinkToFit="1"/>
    </xf>
    <xf numFmtId="1" fontId="14" fillId="4" borderId="2" xfId="0" applyNumberFormat="1" applyFont="1" applyFill="1" applyBorder="1" applyAlignment="1">
      <alignment horizontal="center" vertical="center" wrapText="1" shrinkToFit="1"/>
    </xf>
    <xf numFmtId="1" fontId="5" fillId="0" borderId="5" xfId="0" quotePrefix="1" applyNumberFormat="1" applyFont="1" applyFill="1" applyBorder="1" applyAlignment="1">
      <alignment horizontal="center" vertical="center" wrapText="1" shrinkToFit="1"/>
    </xf>
    <xf numFmtId="1" fontId="5" fillId="0" borderId="6" xfId="0" quotePrefix="1" applyNumberFormat="1" applyFont="1" applyFill="1" applyBorder="1" applyAlignment="1">
      <alignment horizontal="center" vertical="center" wrapText="1" shrinkToFit="1"/>
    </xf>
    <xf numFmtId="1" fontId="5" fillId="0" borderId="7" xfId="0" quotePrefix="1" applyNumberFormat="1" applyFont="1" applyFill="1" applyBorder="1" applyAlignment="1">
      <alignment horizontal="center" vertical="center" wrapText="1" shrinkToFit="1"/>
    </xf>
    <xf numFmtId="1" fontId="5" fillId="0" borderId="6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" fontId="5" fillId="0" borderId="1" xfId="0" quotePrefix="1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 vertical="center" wrapText="1" shrinkToFit="1"/>
    </xf>
  </cellXfs>
  <cellStyles count="2">
    <cellStyle name="Відсотковий" xfId="1" builtinId="5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54"/>
  <sheetViews>
    <sheetView tabSelected="1" view="pageBreakPreview" topLeftCell="A207" zoomScale="84" zoomScaleNormal="75" zoomScaleSheetLayoutView="84" workbookViewId="0">
      <selection activeCell="A4" sqref="A4:J4"/>
    </sheetView>
  </sheetViews>
  <sheetFormatPr defaultColWidth="8.85546875" defaultRowHeight="12.75" x14ac:dyDescent="0.2"/>
  <cols>
    <col min="1" max="1" width="11" style="1" customWidth="1"/>
    <col min="2" max="2" width="10.7109375" style="1" customWidth="1"/>
    <col min="3" max="3" width="12.5703125" style="1" customWidth="1"/>
    <col min="4" max="4" width="59" style="1" customWidth="1"/>
    <col min="5" max="5" width="113.5703125" style="1" customWidth="1"/>
    <col min="6" max="6" width="12.5703125" style="1" customWidth="1"/>
    <col min="7" max="8" width="17.28515625" style="1" customWidth="1"/>
    <col min="9" max="9" width="18.85546875" style="4" customWidth="1"/>
    <col min="10" max="10" width="11.7109375" style="1" customWidth="1"/>
    <col min="11" max="11" width="33.140625" style="1" customWidth="1"/>
    <col min="12" max="12" width="29" style="1" customWidth="1"/>
    <col min="13" max="13" width="27.140625" style="1" customWidth="1"/>
    <col min="14" max="14" width="14.5703125" style="1" customWidth="1"/>
    <col min="15" max="16384" width="8.85546875" style="1"/>
  </cols>
  <sheetData>
    <row r="1" spans="1:13" ht="15.75" x14ac:dyDescent="0.2">
      <c r="G1" s="264" t="s">
        <v>0</v>
      </c>
      <c r="H1" s="264"/>
      <c r="I1" s="264"/>
      <c r="J1" s="264"/>
    </row>
    <row r="2" spans="1:13" ht="109.5" customHeight="1" x14ac:dyDescent="0.3">
      <c r="D2" s="19"/>
      <c r="G2" s="272" t="s">
        <v>338</v>
      </c>
      <c r="H2" s="272"/>
      <c r="I2" s="272"/>
      <c r="J2" s="272"/>
    </row>
    <row r="3" spans="1:13" s="2" customFormat="1" ht="23.25" customHeight="1" x14ac:dyDescent="0.2">
      <c r="A3" s="266" t="s">
        <v>1</v>
      </c>
      <c r="B3" s="266"/>
      <c r="C3" s="266"/>
      <c r="D3" s="266"/>
      <c r="E3" s="266"/>
      <c r="F3" s="266"/>
      <c r="G3" s="266"/>
      <c r="H3" s="266"/>
      <c r="I3" s="266"/>
      <c r="J3" s="266"/>
      <c r="K3" s="12"/>
      <c r="L3" s="12"/>
    </row>
    <row r="4" spans="1:13" s="2" customFormat="1" ht="24.75" customHeight="1" x14ac:dyDescent="0.2">
      <c r="A4" s="265" t="s">
        <v>183</v>
      </c>
      <c r="B4" s="265"/>
      <c r="C4" s="265"/>
      <c r="D4" s="265"/>
      <c r="E4" s="265"/>
      <c r="F4" s="265"/>
      <c r="G4" s="265"/>
      <c r="H4" s="265"/>
      <c r="I4" s="265"/>
      <c r="J4" s="265"/>
      <c r="K4" s="12"/>
      <c r="L4" s="12"/>
    </row>
    <row r="5" spans="1:13" ht="93.75" customHeight="1" x14ac:dyDescent="0.2">
      <c r="A5" s="13" t="s">
        <v>185</v>
      </c>
      <c r="B5" s="13" t="s">
        <v>186</v>
      </c>
      <c r="C5" s="13" t="s">
        <v>3</v>
      </c>
      <c r="D5" s="13" t="s">
        <v>187</v>
      </c>
      <c r="E5" s="13" t="s">
        <v>188</v>
      </c>
      <c r="F5" s="13" t="s">
        <v>189</v>
      </c>
      <c r="G5" s="13" t="s">
        <v>190</v>
      </c>
      <c r="H5" s="13" t="s">
        <v>180</v>
      </c>
      <c r="I5" s="13" t="s">
        <v>191</v>
      </c>
      <c r="J5" s="14" t="s">
        <v>182</v>
      </c>
      <c r="K5" s="15"/>
      <c r="L5" s="15"/>
    </row>
    <row r="6" spans="1:13" ht="19.5" x14ac:dyDescent="0.35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  <c r="J6" s="14">
        <v>10</v>
      </c>
      <c r="K6" s="50" t="s">
        <v>144</v>
      </c>
      <c r="L6" s="50" t="s">
        <v>75</v>
      </c>
      <c r="M6" s="56" t="s">
        <v>143</v>
      </c>
    </row>
    <row r="7" spans="1:13" s="17" customFormat="1" ht="20.25" customHeight="1" x14ac:dyDescent="0.3">
      <c r="A7" s="267" t="s">
        <v>12</v>
      </c>
      <c r="B7" s="268"/>
      <c r="C7" s="268"/>
      <c r="D7" s="268"/>
      <c r="E7" s="268"/>
      <c r="F7" s="79"/>
      <c r="G7" s="18"/>
      <c r="H7" s="18"/>
      <c r="I7" s="99">
        <f>I8+I29+I32+I47+I61+I92+I54+I97+I59+I57+I90</f>
        <v>181423158</v>
      </c>
      <c r="J7" s="11"/>
      <c r="K7" s="66"/>
      <c r="L7" s="68">
        <f>SUM(L9:L98)</f>
        <v>113109395.44</v>
      </c>
      <c r="M7" s="69">
        <f>I7-L7</f>
        <v>68313762.560000002</v>
      </c>
    </row>
    <row r="8" spans="1:13" s="5" customFormat="1" ht="15.75" x14ac:dyDescent="0.2">
      <c r="A8" s="86" t="s">
        <v>177</v>
      </c>
      <c r="B8" s="85"/>
      <c r="C8" s="85"/>
      <c r="D8" s="36" t="s">
        <v>9</v>
      </c>
      <c r="E8" s="9"/>
      <c r="F8" s="9" t="s">
        <v>7</v>
      </c>
      <c r="G8" s="89" t="s">
        <v>7</v>
      </c>
      <c r="H8" s="89" t="s">
        <v>181</v>
      </c>
      <c r="I8" s="84">
        <f>SUM(I9:I28)</f>
        <v>42456126</v>
      </c>
      <c r="J8" s="10" t="s">
        <v>7</v>
      </c>
      <c r="K8" s="67"/>
      <c r="L8" s="112"/>
      <c r="M8" s="67"/>
    </row>
    <row r="9" spans="1:13" s="145" customFormat="1" ht="18.75" x14ac:dyDescent="0.2">
      <c r="A9" s="215" t="s">
        <v>11</v>
      </c>
      <c r="B9" s="38">
        <v>6030</v>
      </c>
      <c r="C9" s="215" t="s">
        <v>18</v>
      </c>
      <c r="D9" s="220" t="s">
        <v>19</v>
      </c>
      <c r="E9" s="16" t="s">
        <v>10</v>
      </c>
      <c r="F9" s="218">
        <v>2021</v>
      </c>
      <c r="G9" s="87">
        <v>0</v>
      </c>
      <c r="H9" s="144">
        <v>0</v>
      </c>
      <c r="I9" s="87">
        <f>2464211+5750814-4691000-1246084.3-1218000</f>
        <v>1059940.7000000002</v>
      </c>
      <c r="J9" s="218"/>
      <c r="K9" s="59">
        <v>2038</v>
      </c>
      <c r="L9" s="107">
        <f>1059200</f>
        <v>1059200</v>
      </c>
      <c r="M9" s="107">
        <f>I9-L9</f>
        <v>740.70000000018626</v>
      </c>
    </row>
    <row r="10" spans="1:13" s="145" customFormat="1" ht="51.75" customHeight="1" x14ac:dyDescent="0.2">
      <c r="A10" s="215" t="s">
        <v>59</v>
      </c>
      <c r="B10" s="38">
        <v>6040</v>
      </c>
      <c r="C10" s="215" t="s">
        <v>61</v>
      </c>
      <c r="D10" s="220" t="s">
        <v>60</v>
      </c>
      <c r="E10" s="16" t="s">
        <v>62</v>
      </c>
      <c r="F10" s="218">
        <v>2021</v>
      </c>
      <c r="G10" s="87">
        <v>5261884</v>
      </c>
      <c r="H10" s="144">
        <v>0</v>
      </c>
      <c r="I10" s="87">
        <v>1985175</v>
      </c>
      <c r="J10" s="218"/>
      <c r="K10" s="59">
        <v>2041</v>
      </c>
      <c r="L10" s="107"/>
      <c r="M10" s="107">
        <f>I10-L10</f>
        <v>1985175</v>
      </c>
    </row>
    <row r="11" spans="1:13" s="145" customFormat="1" ht="31.5" x14ac:dyDescent="0.2">
      <c r="A11" s="215" t="s">
        <v>163</v>
      </c>
      <c r="B11" s="38">
        <v>6082</v>
      </c>
      <c r="C11" s="215" t="s">
        <v>32</v>
      </c>
      <c r="D11" s="220" t="s">
        <v>164</v>
      </c>
      <c r="E11" s="16" t="s">
        <v>165</v>
      </c>
      <c r="F11" s="218">
        <v>2021</v>
      </c>
      <c r="G11" s="87">
        <v>4895627</v>
      </c>
      <c r="H11" s="144">
        <v>0</v>
      </c>
      <c r="I11" s="87">
        <v>1486688</v>
      </c>
      <c r="J11" s="218"/>
      <c r="K11" s="59">
        <v>2115</v>
      </c>
      <c r="L11" s="107"/>
      <c r="M11" s="107">
        <f>I11-L11</f>
        <v>1486688</v>
      </c>
    </row>
    <row r="12" spans="1:13" s="145" customFormat="1" ht="31.5" x14ac:dyDescent="0.25">
      <c r="A12" s="273" t="s">
        <v>122</v>
      </c>
      <c r="B12" s="257">
        <v>7330</v>
      </c>
      <c r="C12" s="233" t="s">
        <v>24</v>
      </c>
      <c r="D12" s="254" t="s">
        <v>121</v>
      </c>
      <c r="E12" s="34" t="s">
        <v>52</v>
      </c>
      <c r="F12" s="218">
        <v>2021</v>
      </c>
      <c r="G12" s="87">
        <v>0</v>
      </c>
      <c r="H12" s="144">
        <v>0</v>
      </c>
      <c r="I12" s="87">
        <f>1000000-1000000</f>
        <v>0</v>
      </c>
      <c r="J12" s="218"/>
      <c r="K12" s="59">
        <v>2036</v>
      </c>
      <c r="L12" s="107"/>
      <c r="M12" s="107">
        <f t="shared" ref="M12:M19" si="0">I12-L12</f>
        <v>0</v>
      </c>
    </row>
    <row r="13" spans="1:13" s="197" customFormat="1" ht="18.75" x14ac:dyDescent="0.25">
      <c r="A13" s="274"/>
      <c r="B13" s="258"/>
      <c r="C13" s="247"/>
      <c r="D13" s="255"/>
      <c r="E13" s="55" t="s">
        <v>40</v>
      </c>
      <c r="F13" s="218">
        <v>2021</v>
      </c>
      <c r="G13" s="87">
        <v>0</v>
      </c>
      <c r="H13" s="144">
        <v>0</v>
      </c>
      <c r="I13" s="87">
        <f>2000000-414152-524756.17-500000</f>
        <v>561091.83000000007</v>
      </c>
      <c r="J13" s="55"/>
      <c r="K13" s="59">
        <v>2027</v>
      </c>
      <c r="L13" s="223"/>
      <c r="M13" s="107">
        <f t="shared" si="0"/>
        <v>561091.83000000007</v>
      </c>
    </row>
    <row r="14" spans="1:13" s="145" customFormat="1" ht="46.5" customHeight="1" x14ac:dyDescent="0.2">
      <c r="A14" s="274"/>
      <c r="B14" s="258"/>
      <c r="C14" s="247"/>
      <c r="D14" s="255"/>
      <c r="E14" s="16" t="s">
        <v>311</v>
      </c>
      <c r="F14" s="218" t="s">
        <v>184</v>
      </c>
      <c r="G14" s="87">
        <v>25000000</v>
      </c>
      <c r="H14" s="144">
        <v>0</v>
      </c>
      <c r="I14" s="87">
        <v>498976</v>
      </c>
      <c r="J14" s="218"/>
      <c r="K14" s="59">
        <v>2158</v>
      </c>
      <c r="L14" s="107">
        <v>0</v>
      </c>
      <c r="M14" s="107">
        <f t="shared" si="0"/>
        <v>498976</v>
      </c>
    </row>
    <row r="15" spans="1:13" s="145" customFormat="1" ht="54.75" customHeight="1" x14ac:dyDescent="0.2">
      <c r="A15" s="275"/>
      <c r="B15" s="259"/>
      <c r="C15" s="234"/>
      <c r="D15" s="256"/>
      <c r="E15" s="16" t="s">
        <v>309</v>
      </c>
      <c r="F15" s="218">
        <v>2021</v>
      </c>
      <c r="G15" s="87">
        <v>276756.17</v>
      </c>
      <c r="H15" s="144">
        <v>0</v>
      </c>
      <c r="I15" s="87">
        <f>G15</f>
        <v>276756.17</v>
      </c>
      <c r="J15" s="218"/>
      <c r="K15" s="59">
        <v>2182</v>
      </c>
      <c r="L15" s="107"/>
      <c r="M15" s="107">
        <f t="shared" si="0"/>
        <v>276756.17</v>
      </c>
    </row>
    <row r="16" spans="1:13" s="197" customFormat="1" ht="47.25" x14ac:dyDescent="0.25">
      <c r="A16" s="215" t="s">
        <v>192</v>
      </c>
      <c r="B16" s="216">
        <v>7361</v>
      </c>
      <c r="C16" s="215" t="s">
        <v>5</v>
      </c>
      <c r="D16" s="217" t="s">
        <v>193</v>
      </c>
      <c r="E16" s="97" t="s">
        <v>155</v>
      </c>
      <c r="F16" s="218">
        <v>2021</v>
      </c>
      <c r="G16" s="87">
        <v>25999836</v>
      </c>
      <c r="H16" s="144">
        <v>0</v>
      </c>
      <c r="I16" s="87">
        <f>7799951+2777364.3</f>
        <v>10577315.300000001</v>
      </c>
      <c r="J16" s="55"/>
      <c r="K16" s="59">
        <v>2005</v>
      </c>
      <c r="L16" s="199">
        <f>2120557+2629120.33+820797.19+562890.26+4141064.01+130950</f>
        <v>10405378.789999999</v>
      </c>
      <c r="M16" s="107">
        <f t="shared" si="0"/>
        <v>171936.51000000164</v>
      </c>
    </row>
    <row r="17" spans="1:52" s="145" customFormat="1" ht="31.5" x14ac:dyDescent="0.2">
      <c r="A17" s="233" t="s">
        <v>29</v>
      </c>
      <c r="B17" s="228">
        <v>7370</v>
      </c>
      <c r="C17" s="233" t="s">
        <v>5</v>
      </c>
      <c r="D17" s="254" t="s">
        <v>30</v>
      </c>
      <c r="E17" s="105" t="s">
        <v>124</v>
      </c>
      <c r="F17" s="218">
        <v>2021</v>
      </c>
      <c r="G17" s="87">
        <f>I17</f>
        <v>4500000</v>
      </c>
      <c r="H17" s="144">
        <v>0</v>
      </c>
      <c r="I17" s="87">
        <v>4500000</v>
      </c>
      <c r="J17" s="218"/>
      <c r="K17" s="59">
        <v>2002</v>
      </c>
      <c r="L17" s="107">
        <v>4499252</v>
      </c>
      <c r="M17" s="107">
        <f>I17-L17</f>
        <v>748</v>
      </c>
    </row>
    <row r="18" spans="1:52" s="145" customFormat="1" ht="36.75" customHeight="1" x14ac:dyDescent="0.2">
      <c r="A18" s="234"/>
      <c r="B18" s="229"/>
      <c r="C18" s="234"/>
      <c r="D18" s="256"/>
      <c r="E18" s="105" t="s">
        <v>321</v>
      </c>
      <c r="F18" s="218">
        <v>2021</v>
      </c>
      <c r="G18" s="87">
        <v>4725343</v>
      </c>
      <c r="H18" s="144">
        <v>0</v>
      </c>
      <c r="I18" s="87">
        <f>4725343</f>
        <v>4725343</v>
      </c>
      <c r="J18" s="218"/>
      <c r="K18" s="59">
        <v>2190</v>
      </c>
      <c r="L18" s="107"/>
      <c r="M18" s="107"/>
    </row>
    <row r="19" spans="1:52" s="145" customFormat="1" ht="31.5" x14ac:dyDescent="0.25">
      <c r="A19" s="215" t="s">
        <v>4</v>
      </c>
      <c r="B19" s="216">
        <v>7650</v>
      </c>
      <c r="C19" s="215" t="s">
        <v>5</v>
      </c>
      <c r="D19" s="148" t="s">
        <v>13</v>
      </c>
      <c r="E19" s="198" t="s">
        <v>6</v>
      </c>
      <c r="F19" s="218">
        <v>2021</v>
      </c>
      <c r="G19" s="87">
        <v>0</v>
      </c>
      <c r="H19" s="144">
        <v>0</v>
      </c>
      <c r="I19" s="87">
        <f>100000+49990</f>
        <v>149990</v>
      </c>
      <c r="J19" s="218"/>
      <c r="K19" s="59">
        <v>2001</v>
      </c>
      <c r="L19" s="107">
        <f>19300+5000+16000</f>
        <v>40300</v>
      </c>
      <c r="M19" s="107">
        <f t="shared" si="0"/>
        <v>109690</v>
      </c>
    </row>
    <row r="20" spans="1:52" s="145" customFormat="1" ht="31.5" x14ac:dyDescent="0.25">
      <c r="A20" s="249" t="s">
        <v>37</v>
      </c>
      <c r="B20" s="252">
        <v>9770</v>
      </c>
      <c r="C20" s="249" t="s">
        <v>22</v>
      </c>
      <c r="D20" s="294" t="s">
        <v>38</v>
      </c>
      <c r="E20" s="97" t="s">
        <v>46</v>
      </c>
      <c r="F20" s="218" t="s">
        <v>184</v>
      </c>
      <c r="G20" s="87">
        <v>19941203</v>
      </c>
      <c r="H20" s="144">
        <v>0</v>
      </c>
      <c r="I20" s="87">
        <f>1400000+1000000</f>
        <v>2400000</v>
      </c>
      <c r="J20" s="218"/>
      <c r="K20" s="59">
        <v>2006</v>
      </c>
      <c r="L20" s="107">
        <v>2400000</v>
      </c>
      <c r="M20" s="107">
        <f>I20-L20</f>
        <v>0</v>
      </c>
    </row>
    <row r="21" spans="1:52" s="145" customFormat="1" ht="18.75" x14ac:dyDescent="0.25">
      <c r="A21" s="249"/>
      <c r="B21" s="252"/>
      <c r="C21" s="249"/>
      <c r="D21" s="294"/>
      <c r="E21" s="34" t="s">
        <v>53</v>
      </c>
      <c r="F21" s="218">
        <v>2021</v>
      </c>
      <c r="G21" s="87">
        <v>39127000</v>
      </c>
      <c r="H21" s="144">
        <v>0</v>
      </c>
      <c r="I21" s="87">
        <v>2086945</v>
      </c>
      <c r="J21" s="218"/>
      <c r="K21" s="59">
        <v>2007</v>
      </c>
      <c r="L21" s="107"/>
      <c r="M21" s="107">
        <f>I21-L21</f>
        <v>2086945</v>
      </c>
    </row>
    <row r="22" spans="1:52" s="145" customFormat="1" ht="38.25" customHeight="1" x14ac:dyDescent="0.25">
      <c r="A22" s="249"/>
      <c r="B22" s="252"/>
      <c r="C22" s="249"/>
      <c r="D22" s="294"/>
      <c r="E22" s="34" t="s">
        <v>41</v>
      </c>
      <c r="F22" s="218">
        <v>2021</v>
      </c>
      <c r="G22" s="87">
        <v>9300000</v>
      </c>
      <c r="H22" s="144">
        <v>0</v>
      </c>
      <c r="I22" s="87">
        <f>1395000-410444</f>
        <v>984556</v>
      </c>
      <c r="J22" s="218"/>
      <c r="K22" s="59">
        <v>2011</v>
      </c>
      <c r="L22" s="107"/>
      <c r="M22" s="107">
        <f>I22-L22</f>
        <v>984556</v>
      </c>
    </row>
    <row r="23" spans="1:52" s="145" customFormat="1" ht="35.25" customHeight="1" x14ac:dyDescent="0.25">
      <c r="A23" s="249"/>
      <c r="B23" s="252"/>
      <c r="C23" s="249"/>
      <c r="D23" s="294"/>
      <c r="E23" s="34" t="s">
        <v>39</v>
      </c>
      <c r="F23" s="218" t="s">
        <v>209</v>
      </c>
      <c r="G23" s="87">
        <v>22473283</v>
      </c>
      <c r="H23" s="144">
        <v>0</v>
      </c>
      <c r="I23" s="87">
        <f>4495000-1640211-762788-600000-15500-1469700</f>
        <v>6801</v>
      </c>
      <c r="J23" s="218"/>
      <c r="K23" s="59">
        <v>2013</v>
      </c>
      <c r="L23" s="107"/>
      <c r="M23" s="107">
        <f>I23-L23</f>
        <v>6801</v>
      </c>
    </row>
    <row r="24" spans="1:52" s="145" customFormat="1" ht="36.75" customHeight="1" x14ac:dyDescent="0.25">
      <c r="A24" s="249"/>
      <c r="B24" s="252"/>
      <c r="C24" s="249"/>
      <c r="D24" s="294"/>
      <c r="E24" s="34" t="s">
        <v>67</v>
      </c>
      <c r="F24" s="218" t="s">
        <v>209</v>
      </c>
      <c r="G24" s="87">
        <v>17352090</v>
      </c>
      <c r="H24" s="144">
        <v>0</v>
      </c>
      <c r="I24" s="87">
        <v>3470418</v>
      </c>
      <c r="J24" s="218"/>
      <c r="K24" s="59">
        <v>2047</v>
      </c>
      <c r="L24" s="107">
        <v>3470418</v>
      </c>
      <c r="M24" s="107">
        <f>I24-L24</f>
        <v>0</v>
      </c>
    </row>
    <row r="25" spans="1:52" s="145" customFormat="1" ht="36.75" customHeight="1" x14ac:dyDescent="0.25">
      <c r="A25" s="249"/>
      <c r="B25" s="252"/>
      <c r="C25" s="249"/>
      <c r="D25" s="294"/>
      <c r="E25" s="34" t="s">
        <v>322</v>
      </c>
      <c r="F25" s="218" t="s">
        <v>323</v>
      </c>
      <c r="G25" s="87">
        <v>9823243</v>
      </c>
      <c r="H25" s="144">
        <v>0.65</v>
      </c>
      <c r="I25" s="87">
        <v>1019200</v>
      </c>
      <c r="J25" s="218"/>
      <c r="K25" s="59">
        <v>2191</v>
      </c>
      <c r="L25" s="107"/>
      <c r="M25" s="107"/>
    </row>
    <row r="26" spans="1:52" s="145" customFormat="1" ht="36.75" customHeight="1" x14ac:dyDescent="0.25">
      <c r="A26" s="249"/>
      <c r="B26" s="252"/>
      <c r="C26" s="249"/>
      <c r="D26" s="294"/>
      <c r="E26" s="34" t="s">
        <v>324</v>
      </c>
      <c r="F26" s="218" t="s">
        <v>323</v>
      </c>
      <c r="G26" s="87">
        <v>12167077</v>
      </c>
      <c r="H26" s="144">
        <v>0.7</v>
      </c>
      <c r="I26" s="87">
        <v>5373652</v>
      </c>
      <c r="J26" s="218"/>
      <c r="K26" s="59">
        <v>2192</v>
      </c>
      <c r="L26" s="107"/>
      <c r="M26" s="107"/>
    </row>
    <row r="27" spans="1:52" s="145" customFormat="1" ht="30" customHeight="1" x14ac:dyDescent="0.25">
      <c r="A27" s="249"/>
      <c r="B27" s="252"/>
      <c r="C27" s="249"/>
      <c r="D27" s="294"/>
      <c r="E27" s="34" t="s">
        <v>248</v>
      </c>
      <c r="F27" s="31">
        <v>2021</v>
      </c>
      <c r="G27" s="87">
        <v>1124558</v>
      </c>
      <c r="H27" s="144">
        <v>0</v>
      </c>
      <c r="I27" s="87">
        <v>1124558</v>
      </c>
      <c r="J27" s="31"/>
      <c r="K27" s="59">
        <v>2130</v>
      </c>
      <c r="L27" s="107">
        <v>1124558</v>
      </c>
      <c r="M27" s="107">
        <f>I27-L27</f>
        <v>0</v>
      </c>
    </row>
    <row r="28" spans="1:52" s="145" customFormat="1" ht="30" customHeight="1" x14ac:dyDescent="0.25">
      <c r="A28" s="190" t="s">
        <v>307</v>
      </c>
      <c r="B28" s="191">
        <v>8110</v>
      </c>
      <c r="C28" s="190"/>
      <c r="D28" s="176" t="s">
        <v>308</v>
      </c>
      <c r="E28" s="34" t="s">
        <v>10</v>
      </c>
      <c r="F28" s="31">
        <v>2021</v>
      </c>
      <c r="G28" s="87">
        <v>0</v>
      </c>
      <c r="H28" s="144">
        <v>0</v>
      </c>
      <c r="I28" s="87">
        <v>168720</v>
      </c>
      <c r="J28" s="31"/>
      <c r="K28" s="59">
        <v>2181</v>
      </c>
      <c r="L28" s="107"/>
      <c r="M28" s="107"/>
    </row>
    <row r="29" spans="1:52" s="152" customFormat="1" ht="15.75" x14ac:dyDescent="0.2">
      <c r="A29" s="269"/>
      <c r="B29" s="270"/>
      <c r="C29" s="271"/>
      <c r="D29" s="40" t="s">
        <v>76</v>
      </c>
      <c r="E29" s="149"/>
      <c r="F29" s="44" t="s">
        <v>7</v>
      </c>
      <c r="G29" s="83" t="s">
        <v>7</v>
      </c>
      <c r="H29" s="83" t="s">
        <v>7</v>
      </c>
      <c r="I29" s="83">
        <f>SUM(I30:I31)</f>
        <v>2013486</v>
      </c>
      <c r="J29" s="44" t="s">
        <v>7</v>
      </c>
      <c r="K29" s="150"/>
      <c r="L29" s="150"/>
      <c r="M29" s="150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</row>
    <row r="30" spans="1:52" s="145" customFormat="1" ht="39.75" customHeight="1" x14ac:dyDescent="0.2">
      <c r="A30" s="233" t="s">
        <v>25</v>
      </c>
      <c r="B30" s="228">
        <v>7441</v>
      </c>
      <c r="C30" s="233" t="s">
        <v>20</v>
      </c>
      <c r="D30" s="257" t="s">
        <v>26</v>
      </c>
      <c r="E30" s="105" t="s">
        <v>78</v>
      </c>
      <c r="F30" s="218">
        <v>2021</v>
      </c>
      <c r="G30" s="87">
        <f>I30</f>
        <v>1250698</v>
      </c>
      <c r="H30" s="144">
        <v>0</v>
      </c>
      <c r="I30" s="87">
        <f>1488000-87302-150000</f>
        <v>1250698</v>
      </c>
      <c r="J30" s="222"/>
      <c r="K30" s="59">
        <v>2018</v>
      </c>
      <c r="L30" s="63">
        <f>109605.01+537394.99</f>
        <v>647000</v>
      </c>
      <c r="M30" s="107">
        <f>I30-L30</f>
        <v>603698</v>
      </c>
    </row>
    <row r="31" spans="1:52" s="145" customFormat="1" ht="56.25" customHeight="1" x14ac:dyDescent="0.2">
      <c r="A31" s="234"/>
      <c r="B31" s="229"/>
      <c r="C31" s="234"/>
      <c r="D31" s="259"/>
      <c r="E31" s="105" t="s">
        <v>82</v>
      </c>
      <c r="F31" s="31">
        <v>2021</v>
      </c>
      <c r="G31" s="87">
        <f>I31</f>
        <v>762788</v>
      </c>
      <c r="H31" s="144">
        <v>0</v>
      </c>
      <c r="I31" s="87">
        <v>762788</v>
      </c>
      <c r="J31" s="31"/>
      <c r="K31" s="59">
        <v>2049</v>
      </c>
      <c r="L31" s="107"/>
      <c r="M31" s="107">
        <f>I31-L31</f>
        <v>762788</v>
      </c>
    </row>
    <row r="32" spans="1:52" s="153" customFormat="1" ht="15.75" x14ac:dyDescent="0.25">
      <c r="A32" s="269"/>
      <c r="B32" s="270"/>
      <c r="C32" s="271"/>
      <c r="D32" s="40" t="s">
        <v>97</v>
      </c>
      <c r="E32" s="37"/>
      <c r="F32" s="44" t="s">
        <v>7</v>
      </c>
      <c r="G32" s="83" t="s">
        <v>7</v>
      </c>
      <c r="H32" s="83" t="s">
        <v>7</v>
      </c>
      <c r="I32" s="83">
        <f>SUM(I33:I46)</f>
        <v>14554858</v>
      </c>
      <c r="J32" s="44" t="s">
        <v>7</v>
      </c>
      <c r="K32" s="150"/>
      <c r="L32" s="150"/>
      <c r="M32" s="150"/>
    </row>
    <row r="33" spans="1:52" s="145" customFormat="1" ht="18.75" x14ac:dyDescent="0.25">
      <c r="A33" s="233" t="s">
        <v>11</v>
      </c>
      <c r="B33" s="279">
        <v>6030</v>
      </c>
      <c r="C33" s="233" t="s">
        <v>18</v>
      </c>
      <c r="D33" s="260" t="s">
        <v>19</v>
      </c>
      <c r="E33" s="34" t="s">
        <v>27</v>
      </c>
      <c r="F33" s="218">
        <v>2021</v>
      </c>
      <c r="G33" s="87">
        <f>I33</f>
        <v>391800</v>
      </c>
      <c r="H33" s="144">
        <v>0</v>
      </c>
      <c r="I33" s="87">
        <v>391800</v>
      </c>
      <c r="J33" s="218"/>
      <c r="K33" s="59">
        <v>2019</v>
      </c>
      <c r="L33" s="107"/>
      <c r="M33" s="107">
        <f>I33-L33</f>
        <v>391800</v>
      </c>
    </row>
    <row r="34" spans="1:52" s="145" customFormat="1" ht="18.75" x14ac:dyDescent="0.25">
      <c r="A34" s="247"/>
      <c r="B34" s="293"/>
      <c r="C34" s="247"/>
      <c r="D34" s="261"/>
      <c r="E34" s="34" t="s">
        <v>10</v>
      </c>
      <c r="F34" s="218">
        <v>2021</v>
      </c>
      <c r="G34" s="87">
        <v>0</v>
      </c>
      <c r="H34" s="144">
        <v>0</v>
      </c>
      <c r="I34" s="87">
        <f>4691000-1700000-2787000</f>
        <v>204000</v>
      </c>
      <c r="J34" s="218"/>
      <c r="K34" s="59">
        <v>2038</v>
      </c>
      <c r="L34" s="107"/>
      <c r="M34" s="107">
        <f>I34-L34</f>
        <v>204000</v>
      </c>
    </row>
    <row r="35" spans="1:52" s="145" customFormat="1" ht="31.5" x14ac:dyDescent="0.25">
      <c r="A35" s="247"/>
      <c r="B35" s="293"/>
      <c r="C35" s="247"/>
      <c r="D35" s="261"/>
      <c r="E35" s="34" t="s">
        <v>310</v>
      </c>
      <c r="F35" s="218">
        <v>2021</v>
      </c>
      <c r="G35" s="87">
        <v>248000</v>
      </c>
      <c r="H35" s="144">
        <v>0</v>
      </c>
      <c r="I35" s="87">
        <v>248000</v>
      </c>
      <c r="J35" s="218"/>
      <c r="K35" s="59">
        <v>2138</v>
      </c>
      <c r="L35" s="107"/>
      <c r="M35" s="107">
        <f>I35-L35</f>
        <v>248000</v>
      </c>
    </row>
    <row r="36" spans="1:52" s="145" customFormat="1" ht="31.5" x14ac:dyDescent="0.25">
      <c r="A36" s="247"/>
      <c r="B36" s="293"/>
      <c r="C36" s="247"/>
      <c r="D36" s="261"/>
      <c r="E36" s="34" t="s">
        <v>315</v>
      </c>
      <c r="F36" s="218">
        <v>2021</v>
      </c>
      <c r="G36" s="87">
        <v>500000</v>
      </c>
      <c r="H36" s="144">
        <v>0</v>
      </c>
      <c r="I36" s="87">
        <f>G36</f>
        <v>500000</v>
      </c>
      <c r="J36" s="218"/>
      <c r="K36" s="59">
        <v>2187</v>
      </c>
      <c r="L36" s="107"/>
      <c r="M36" s="107"/>
    </row>
    <row r="37" spans="1:52" s="145" customFormat="1" ht="31.5" x14ac:dyDescent="0.25">
      <c r="A37" s="247"/>
      <c r="B37" s="293"/>
      <c r="C37" s="247"/>
      <c r="D37" s="261"/>
      <c r="E37" s="34" t="s">
        <v>316</v>
      </c>
      <c r="F37" s="218">
        <v>2021</v>
      </c>
      <c r="G37" s="87">
        <v>1343778</v>
      </c>
      <c r="H37" s="144">
        <v>0</v>
      </c>
      <c r="I37" s="87">
        <f t="shared" ref="I37:I40" si="1">G37</f>
        <v>1343778</v>
      </c>
      <c r="J37" s="218"/>
      <c r="K37" s="59">
        <v>2188</v>
      </c>
      <c r="L37" s="107"/>
      <c r="M37" s="107"/>
    </row>
    <row r="38" spans="1:52" s="145" customFormat="1" ht="31.5" x14ac:dyDescent="0.25">
      <c r="A38" s="247"/>
      <c r="B38" s="293"/>
      <c r="C38" s="247"/>
      <c r="D38" s="261"/>
      <c r="E38" s="34" t="s">
        <v>317</v>
      </c>
      <c r="F38" s="218">
        <v>2021</v>
      </c>
      <c r="G38" s="87">
        <v>1957530</v>
      </c>
      <c r="H38" s="144">
        <v>0</v>
      </c>
      <c r="I38" s="87">
        <f t="shared" si="1"/>
        <v>1957530</v>
      </c>
      <c r="J38" s="218"/>
      <c r="K38" s="59">
        <v>2166</v>
      </c>
      <c r="L38" s="107"/>
      <c r="M38" s="107"/>
    </row>
    <row r="39" spans="1:52" s="145" customFormat="1" ht="31.5" x14ac:dyDescent="0.25">
      <c r="A39" s="247"/>
      <c r="B39" s="293"/>
      <c r="C39" s="247"/>
      <c r="D39" s="261"/>
      <c r="E39" s="34" t="s">
        <v>318</v>
      </c>
      <c r="F39" s="218">
        <v>2021</v>
      </c>
      <c r="G39" s="87">
        <v>1983519</v>
      </c>
      <c r="H39" s="144">
        <v>0</v>
      </c>
      <c r="I39" s="87">
        <f t="shared" si="1"/>
        <v>1983519</v>
      </c>
      <c r="J39" s="218"/>
      <c r="K39" s="59">
        <v>2167</v>
      </c>
      <c r="L39" s="107"/>
      <c r="M39" s="107"/>
    </row>
    <row r="40" spans="1:52" s="145" customFormat="1" ht="31.5" x14ac:dyDescent="0.25">
      <c r="A40" s="234"/>
      <c r="B40" s="280"/>
      <c r="C40" s="234"/>
      <c r="D40" s="262"/>
      <c r="E40" s="34" t="s">
        <v>319</v>
      </c>
      <c r="F40" s="218">
        <v>2021</v>
      </c>
      <c r="G40" s="87">
        <v>2834104</v>
      </c>
      <c r="H40" s="144">
        <v>0</v>
      </c>
      <c r="I40" s="87">
        <f t="shared" si="1"/>
        <v>2834104</v>
      </c>
      <c r="J40" s="218"/>
      <c r="K40" s="59">
        <v>2168</v>
      </c>
      <c r="L40" s="107"/>
      <c r="M40" s="107"/>
    </row>
    <row r="41" spans="1:52" s="145" customFormat="1" ht="47.25" customHeight="1" x14ac:dyDescent="0.25">
      <c r="A41" s="297" t="s">
        <v>42</v>
      </c>
      <c r="B41" s="295">
        <v>7461</v>
      </c>
      <c r="C41" s="249" t="s">
        <v>20</v>
      </c>
      <c r="D41" s="296" t="s">
        <v>43</v>
      </c>
      <c r="E41" s="97" t="s">
        <v>173</v>
      </c>
      <c r="F41" s="218">
        <v>2021</v>
      </c>
      <c r="G41" s="87">
        <f>I41</f>
        <v>2500000</v>
      </c>
      <c r="H41" s="144">
        <v>0</v>
      </c>
      <c r="I41" s="87">
        <v>2500000</v>
      </c>
      <c r="J41" s="218"/>
      <c r="K41" s="59">
        <v>2021</v>
      </c>
      <c r="L41" s="107"/>
      <c r="M41" s="107">
        <f>I41-L41</f>
        <v>2500000</v>
      </c>
    </row>
    <row r="42" spans="1:52" s="145" customFormat="1" ht="34.5" customHeight="1" x14ac:dyDescent="0.25">
      <c r="A42" s="297"/>
      <c r="B42" s="295"/>
      <c r="C42" s="249"/>
      <c r="D42" s="296"/>
      <c r="E42" s="97" t="s">
        <v>44</v>
      </c>
      <c r="F42" s="218">
        <v>2021</v>
      </c>
      <c r="G42" s="87">
        <f t="shared" ref="G42:G43" si="2">I42</f>
        <v>480000</v>
      </c>
      <c r="H42" s="144">
        <v>0</v>
      </c>
      <c r="I42" s="87">
        <v>480000</v>
      </c>
      <c r="J42" s="218"/>
      <c r="K42" s="59">
        <v>2022</v>
      </c>
      <c r="L42" s="107"/>
      <c r="M42" s="107">
        <f>I42-L42</f>
        <v>480000</v>
      </c>
    </row>
    <row r="43" spans="1:52" s="145" customFormat="1" ht="36.75" customHeight="1" x14ac:dyDescent="0.25">
      <c r="A43" s="297"/>
      <c r="B43" s="295"/>
      <c r="C43" s="249"/>
      <c r="D43" s="296"/>
      <c r="E43" s="97" t="s">
        <v>174</v>
      </c>
      <c r="F43" s="218">
        <v>2021</v>
      </c>
      <c r="G43" s="87">
        <f t="shared" si="2"/>
        <v>1600000</v>
      </c>
      <c r="H43" s="144">
        <v>0</v>
      </c>
      <c r="I43" s="87">
        <v>1600000</v>
      </c>
      <c r="J43" s="218"/>
      <c r="K43" s="59">
        <v>2023</v>
      </c>
      <c r="L43" s="107">
        <f>1493098</f>
        <v>1493098</v>
      </c>
      <c r="M43" s="107">
        <f>I43-L43</f>
        <v>106902</v>
      </c>
    </row>
    <row r="44" spans="1:52" s="145" customFormat="1" ht="36.75" customHeight="1" x14ac:dyDescent="0.25">
      <c r="A44" s="297" t="s">
        <v>253</v>
      </c>
      <c r="B44" s="295">
        <v>6013</v>
      </c>
      <c r="C44" s="249" t="s">
        <v>18</v>
      </c>
      <c r="D44" s="296" t="s">
        <v>252</v>
      </c>
      <c r="E44" s="97" t="s">
        <v>312</v>
      </c>
      <c r="F44" s="218">
        <v>2021</v>
      </c>
      <c r="G44" s="87">
        <v>107776</v>
      </c>
      <c r="H44" s="144">
        <v>0</v>
      </c>
      <c r="I44" s="87">
        <f>G44</f>
        <v>107776</v>
      </c>
      <c r="J44" s="218"/>
      <c r="K44" s="59">
        <v>2184</v>
      </c>
      <c r="L44" s="107"/>
      <c r="M44" s="107"/>
    </row>
    <row r="45" spans="1:52" s="145" customFormat="1" ht="36.75" customHeight="1" x14ac:dyDescent="0.25">
      <c r="A45" s="297"/>
      <c r="B45" s="295"/>
      <c r="C45" s="249"/>
      <c r="D45" s="296"/>
      <c r="E45" s="97" t="s">
        <v>313</v>
      </c>
      <c r="F45" s="218">
        <v>2021</v>
      </c>
      <c r="G45" s="87">
        <v>170860</v>
      </c>
      <c r="H45" s="144">
        <v>0</v>
      </c>
      <c r="I45" s="87">
        <f t="shared" ref="I45:I46" si="3">G45</f>
        <v>170860</v>
      </c>
      <c r="J45" s="218"/>
      <c r="K45" s="59">
        <v>2185</v>
      </c>
      <c r="L45" s="107"/>
      <c r="M45" s="107"/>
    </row>
    <row r="46" spans="1:52" s="145" customFormat="1" ht="36.75" customHeight="1" x14ac:dyDescent="0.25">
      <c r="A46" s="297"/>
      <c r="B46" s="295"/>
      <c r="C46" s="249"/>
      <c r="D46" s="296"/>
      <c r="E46" s="97" t="s">
        <v>314</v>
      </c>
      <c r="F46" s="218">
        <v>2021</v>
      </c>
      <c r="G46" s="87">
        <v>233491</v>
      </c>
      <c r="H46" s="144">
        <v>0</v>
      </c>
      <c r="I46" s="87">
        <f t="shared" si="3"/>
        <v>233491</v>
      </c>
      <c r="J46" s="218"/>
      <c r="K46" s="59">
        <v>2186</v>
      </c>
      <c r="L46" s="107"/>
      <c r="M46" s="107"/>
    </row>
    <row r="47" spans="1:52" s="152" customFormat="1" ht="15.75" x14ac:dyDescent="0.2">
      <c r="A47" s="269"/>
      <c r="B47" s="270"/>
      <c r="C47" s="271"/>
      <c r="D47" s="40" t="s">
        <v>77</v>
      </c>
      <c r="E47" s="149"/>
      <c r="F47" s="44" t="s">
        <v>7</v>
      </c>
      <c r="G47" s="83" t="s">
        <v>7</v>
      </c>
      <c r="H47" s="83" t="s">
        <v>7</v>
      </c>
      <c r="I47" s="83">
        <f>SUM(I48:I53)</f>
        <v>8009142</v>
      </c>
      <c r="J47" s="44" t="s">
        <v>7</v>
      </c>
      <c r="K47" s="154"/>
      <c r="L47" s="155"/>
      <c r="M47" s="156"/>
      <c r="N47" s="151"/>
      <c r="O47" s="151"/>
      <c r="P47" s="151"/>
      <c r="Q47" s="151"/>
      <c r="R47" s="151"/>
      <c r="S47" s="151"/>
      <c r="T47" s="151"/>
      <c r="U47" s="151"/>
      <c r="V47" s="151"/>
      <c r="W47" s="151"/>
      <c r="X47" s="151"/>
      <c r="Y47" s="151"/>
      <c r="Z47" s="151"/>
      <c r="AA47" s="151"/>
      <c r="AB47" s="151"/>
      <c r="AC47" s="151"/>
      <c r="AD47" s="151"/>
      <c r="AE47" s="151"/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</row>
    <row r="48" spans="1:52" s="145" customFormat="1" ht="18.75" x14ac:dyDescent="0.25">
      <c r="A48" s="249" t="s">
        <v>11</v>
      </c>
      <c r="B48" s="252">
        <v>6030</v>
      </c>
      <c r="C48" s="249" t="s">
        <v>18</v>
      </c>
      <c r="D48" s="303" t="s">
        <v>19</v>
      </c>
      <c r="E48" s="34" t="s">
        <v>172</v>
      </c>
      <c r="F48" s="218">
        <v>2021</v>
      </c>
      <c r="G48" s="87">
        <v>8953609</v>
      </c>
      <c r="H48" s="144">
        <v>0</v>
      </c>
      <c r="I48" s="87">
        <f>9000000-37000-3800000</f>
        <v>5163000</v>
      </c>
      <c r="J48" s="218"/>
      <c r="K48" s="59">
        <v>2024</v>
      </c>
      <c r="L48" s="107">
        <v>2546669.15</v>
      </c>
      <c r="M48" s="107">
        <f>I48-L48</f>
        <v>2616330.85</v>
      </c>
    </row>
    <row r="49" spans="1:52" s="145" customFormat="1" ht="18.75" x14ac:dyDescent="0.25">
      <c r="A49" s="249"/>
      <c r="B49" s="252"/>
      <c r="C49" s="249"/>
      <c r="D49" s="303"/>
      <c r="E49" s="34" t="s">
        <v>171</v>
      </c>
      <c r="F49" s="218">
        <v>2021</v>
      </c>
      <c r="G49" s="87">
        <f t="shared" ref="G49:G51" si="4">I49</f>
        <v>125200</v>
      </c>
      <c r="H49" s="144">
        <v>0</v>
      </c>
      <c r="I49" s="87">
        <v>125200</v>
      </c>
      <c r="J49" s="218"/>
      <c r="K49" s="59">
        <v>2033</v>
      </c>
      <c r="L49" s="107">
        <v>123880.86</v>
      </c>
      <c r="M49" s="107">
        <f>I49-L49</f>
        <v>1319.1399999999994</v>
      </c>
    </row>
    <row r="50" spans="1:52" s="145" customFormat="1" ht="47.25" x14ac:dyDescent="0.25">
      <c r="A50" s="249"/>
      <c r="B50" s="252"/>
      <c r="C50" s="249"/>
      <c r="D50" s="303"/>
      <c r="E50" s="34" t="s">
        <v>170</v>
      </c>
      <c r="F50" s="218">
        <v>2021</v>
      </c>
      <c r="G50" s="87">
        <f t="shared" si="4"/>
        <v>36750</v>
      </c>
      <c r="H50" s="144">
        <v>0</v>
      </c>
      <c r="I50" s="87">
        <v>36750</v>
      </c>
      <c r="J50" s="218"/>
      <c r="K50" s="59">
        <v>2039</v>
      </c>
      <c r="L50" s="107">
        <v>36750</v>
      </c>
      <c r="M50" s="107">
        <f>I50-L50</f>
        <v>0</v>
      </c>
    </row>
    <row r="51" spans="1:52" s="145" customFormat="1" ht="47.25" x14ac:dyDescent="0.25">
      <c r="A51" s="249"/>
      <c r="B51" s="252"/>
      <c r="C51" s="249"/>
      <c r="D51" s="303"/>
      <c r="E51" s="34" t="s">
        <v>169</v>
      </c>
      <c r="F51" s="218">
        <v>2021</v>
      </c>
      <c r="G51" s="87">
        <f t="shared" si="4"/>
        <v>49766</v>
      </c>
      <c r="H51" s="144">
        <v>0</v>
      </c>
      <c r="I51" s="87">
        <v>49766</v>
      </c>
      <c r="J51" s="218"/>
      <c r="K51" s="59">
        <v>2040</v>
      </c>
      <c r="L51" s="107">
        <v>49766</v>
      </c>
      <c r="M51" s="107">
        <f>I51-L51</f>
        <v>0</v>
      </c>
    </row>
    <row r="52" spans="1:52" s="145" customFormat="1" ht="31.5" x14ac:dyDescent="0.25">
      <c r="A52" s="249"/>
      <c r="B52" s="252"/>
      <c r="C52" s="249"/>
      <c r="D52" s="303"/>
      <c r="E52" s="34" t="s">
        <v>320</v>
      </c>
      <c r="F52" s="218">
        <v>2021</v>
      </c>
      <c r="G52" s="87">
        <v>559426</v>
      </c>
      <c r="H52" s="144">
        <v>0</v>
      </c>
      <c r="I52" s="87">
        <v>559426</v>
      </c>
      <c r="J52" s="218"/>
      <c r="K52" s="59">
        <v>2189</v>
      </c>
      <c r="L52" s="107"/>
      <c r="M52" s="107"/>
    </row>
    <row r="53" spans="1:52" s="145" customFormat="1" ht="18.75" x14ac:dyDescent="0.25">
      <c r="A53" s="249"/>
      <c r="B53" s="252"/>
      <c r="C53" s="249"/>
      <c r="D53" s="303"/>
      <c r="E53" s="34" t="s">
        <v>10</v>
      </c>
      <c r="F53" s="218">
        <v>2021</v>
      </c>
      <c r="G53" s="87">
        <v>0</v>
      </c>
      <c r="H53" s="144">
        <v>0</v>
      </c>
      <c r="I53" s="87">
        <v>2075000</v>
      </c>
      <c r="J53" s="218"/>
      <c r="K53" s="59">
        <v>2038</v>
      </c>
      <c r="L53" s="107"/>
      <c r="M53" s="107"/>
    </row>
    <row r="54" spans="1:52" s="151" customFormat="1" ht="31.5" x14ac:dyDescent="0.2">
      <c r="A54" s="269"/>
      <c r="B54" s="270"/>
      <c r="C54" s="271"/>
      <c r="D54" s="47" t="s">
        <v>302</v>
      </c>
      <c r="E54" s="149"/>
      <c r="F54" s="44" t="s">
        <v>7</v>
      </c>
      <c r="G54" s="83" t="s">
        <v>7</v>
      </c>
      <c r="H54" s="83" t="s">
        <v>7</v>
      </c>
      <c r="I54" s="83">
        <f>SUM(I55:I56)</f>
        <v>4223551</v>
      </c>
      <c r="J54" s="44" t="s">
        <v>7</v>
      </c>
      <c r="K54" s="157"/>
      <c r="L54" s="158"/>
      <c r="M54" s="107"/>
    </row>
    <row r="55" spans="1:52" s="145" customFormat="1" ht="47.25" x14ac:dyDescent="0.2">
      <c r="A55" s="140" t="s">
        <v>79</v>
      </c>
      <c r="B55" s="38">
        <v>2111</v>
      </c>
      <c r="C55" s="140" t="s">
        <v>81</v>
      </c>
      <c r="D55" s="139" t="s">
        <v>80</v>
      </c>
      <c r="E55" s="105" t="s">
        <v>10</v>
      </c>
      <c r="F55" s="31">
        <v>2021</v>
      </c>
      <c r="G55" s="87">
        <v>0</v>
      </c>
      <c r="H55" s="144">
        <v>0</v>
      </c>
      <c r="I55" s="87">
        <v>600000</v>
      </c>
      <c r="J55" s="31"/>
      <c r="K55" s="59">
        <v>2050</v>
      </c>
      <c r="L55" s="107">
        <f>510000+65000</f>
        <v>575000</v>
      </c>
      <c r="M55" s="107">
        <f>I55-L55</f>
        <v>25000</v>
      </c>
      <c r="N55" s="145" t="s">
        <v>218</v>
      </c>
    </row>
    <row r="56" spans="1:52" s="145" customFormat="1" ht="34.5" customHeight="1" x14ac:dyDescent="0.2">
      <c r="A56" s="140" t="s">
        <v>28</v>
      </c>
      <c r="B56" s="38">
        <v>7322</v>
      </c>
      <c r="C56" s="140" t="s">
        <v>205</v>
      </c>
      <c r="D56" s="139" t="s">
        <v>64</v>
      </c>
      <c r="E56" s="105" t="s">
        <v>210</v>
      </c>
      <c r="F56" s="31">
        <v>2021</v>
      </c>
      <c r="G56" s="87">
        <v>3696403</v>
      </c>
      <c r="H56" s="144">
        <v>0</v>
      </c>
      <c r="I56" s="87">
        <v>3623551</v>
      </c>
      <c r="J56" s="31"/>
      <c r="K56" s="59">
        <v>2118</v>
      </c>
      <c r="L56" s="107">
        <f>49580+554013.48</f>
        <v>603593.48</v>
      </c>
      <c r="M56" s="107">
        <f>I56-L56</f>
        <v>3019957.52</v>
      </c>
    </row>
    <row r="57" spans="1:52" s="151" customFormat="1" ht="46.5" customHeight="1" x14ac:dyDescent="0.2">
      <c r="A57" s="269"/>
      <c r="B57" s="270"/>
      <c r="C57" s="271"/>
      <c r="D57" s="47" t="s">
        <v>303</v>
      </c>
      <c r="E57" s="149"/>
      <c r="F57" s="44" t="s">
        <v>7</v>
      </c>
      <c r="G57" s="83" t="s">
        <v>7</v>
      </c>
      <c r="H57" s="83" t="s">
        <v>7</v>
      </c>
      <c r="I57" s="83">
        <f>SUM(I58)</f>
        <v>1355500</v>
      </c>
      <c r="J57" s="44" t="s">
        <v>7</v>
      </c>
      <c r="K57" s="178"/>
      <c r="L57" s="179"/>
      <c r="M57" s="180"/>
    </row>
    <row r="58" spans="1:52" s="145" customFormat="1" ht="31.5" x14ac:dyDescent="0.25">
      <c r="A58" s="215" t="s">
        <v>49</v>
      </c>
      <c r="B58" s="216">
        <v>2080</v>
      </c>
      <c r="C58" s="215" t="s">
        <v>50</v>
      </c>
      <c r="D58" s="148" t="s">
        <v>51</v>
      </c>
      <c r="E58" s="105" t="s">
        <v>10</v>
      </c>
      <c r="F58" s="218">
        <v>2021</v>
      </c>
      <c r="G58" s="87">
        <v>0</v>
      </c>
      <c r="H58" s="144">
        <v>0</v>
      </c>
      <c r="I58" s="87">
        <f>1268198+87302</f>
        <v>1355500</v>
      </c>
      <c r="J58" s="218"/>
      <c r="K58" s="59">
        <v>2037</v>
      </c>
      <c r="L58" s="107">
        <v>0</v>
      </c>
      <c r="M58" s="107">
        <f>I58-L58</f>
        <v>1355500</v>
      </c>
    </row>
    <row r="59" spans="1:52" s="152" customFormat="1" ht="15.75" x14ac:dyDescent="0.2">
      <c r="A59" s="269"/>
      <c r="B59" s="270"/>
      <c r="C59" s="271"/>
      <c r="D59" s="40" t="s">
        <v>305</v>
      </c>
      <c r="E59" s="149"/>
      <c r="F59" s="44" t="s">
        <v>7</v>
      </c>
      <c r="G59" s="83" t="s">
        <v>7</v>
      </c>
      <c r="H59" s="83" t="s">
        <v>7</v>
      </c>
      <c r="I59" s="83">
        <f>I60</f>
        <v>538024</v>
      </c>
      <c r="J59" s="44" t="s">
        <v>7</v>
      </c>
      <c r="K59" s="154"/>
      <c r="L59" s="155"/>
      <c r="M59" s="156"/>
      <c r="N59" s="151"/>
      <c r="O59" s="151"/>
      <c r="P59" s="151"/>
      <c r="Q59" s="151"/>
      <c r="R59" s="151"/>
      <c r="S59" s="151"/>
      <c r="T59" s="151"/>
      <c r="U59" s="151"/>
      <c r="V59" s="151"/>
      <c r="W59" s="151"/>
      <c r="X59" s="151"/>
      <c r="Y59" s="151"/>
      <c r="Z59" s="151"/>
      <c r="AA59" s="151"/>
      <c r="AB59" s="151"/>
      <c r="AC59" s="151"/>
      <c r="AD59" s="151"/>
      <c r="AE59" s="151"/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</row>
    <row r="60" spans="1:52" s="145" customFormat="1" ht="31.5" x14ac:dyDescent="0.2">
      <c r="A60" s="190" t="s">
        <v>11</v>
      </c>
      <c r="B60" s="38">
        <v>6030</v>
      </c>
      <c r="C60" s="190" t="s">
        <v>18</v>
      </c>
      <c r="D60" s="49" t="s">
        <v>19</v>
      </c>
      <c r="E60" s="16" t="s">
        <v>304</v>
      </c>
      <c r="F60" s="31">
        <v>2021</v>
      </c>
      <c r="G60" s="87">
        <v>0</v>
      </c>
      <c r="H60" s="144">
        <v>0</v>
      </c>
      <c r="I60" s="87">
        <v>538024</v>
      </c>
      <c r="J60" s="31"/>
      <c r="K60" s="59">
        <v>2179</v>
      </c>
      <c r="L60" s="107">
        <v>0</v>
      </c>
      <c r="M60" s="107">
        <f>I60-L60</f>
        <v>538024</v>
      </c>
    </row>
    <row r="61" spans="1:52" s="152" customFormat="1" ht="18.75" x14ac:dyDescent="0.25">
      <c r="A61" s="159" t="s">
        <v>176</v>
      </c>
      <c r="B61" s="160"/>
      <c r="C61" s="160"/>
      <c r="D61" s="36" t="s">
        <v>73</v>
      </c>
      <c r="E61" s="37"/>
      <c r="F61" s="44" t="s">
        <v>7</v>
      </c>
      <c r="G61" s="83" t="s">
        <v>7</v>
      </c>
      <c r="H61" s="83" t="s">
        <v>7</v>
      </c>
      <c r="I61" s="83">
        <f>SUM(I62:I89)</f>
        <v>106380864</v>
      </c>
      <c r="J61" s="44" t="s">
        <v>7</v>
      </c>
      <c r="K61" s="161"/>
      <c r="L61" s="162"/>
      <c r="M61" s="163"/>
    </row>
    <row r="62" spans="1:52" s="145" customFormat="1" ht="36.75" customHeight="1" x14ac:dyDescent="0.25">
      <c r="A62" s="164" t="s">
        <v>282</v>
      </c>
      <c r="B62" s="165">
        <v>1021</v>
      </c>
      <c r="C62" s="164" t="s">
        <v>224</v>
      </c>
      <c r="D62" s="196" t="s">
        <v>283</v>
      </c>
      <c r="E62" s="98" t="s">
        <v>290</v>
      </c>
      <c r="F62" s="31">
        <v>2021</v>
      </c>
      <c r="G62" s="87">
        <v>0</v>
      </c>
      <c r="H62" s="144">
        <v>0</v>
      </c>
      <c r="I62" s="87">
        <v>248352</v>
      </c>
      <c r="J62" s="31"/>
      <c r="K62" s="59">
        <v>2173</v>
      </c>
      <c r="L62" s="166"/>
      <c r="M62" s="166"/>
    </row>
    <row r="63" spans="1:52" s="145" customFormat="1" ht="31.5" x14ac:dyDescent="0.25">
      <c r="A63" s="233" t="s">
        <v>23</v>
      </c>
      <c r="B63" s="228">
        <v>7321</v>
      </c>
      <c r="C63" s="241" t="s">
        <v>24</v>
      </c>
      <c r="D63" s="228" t="s">
        <v>47</v>
      </c>
      <c r="E63" s="98" t="s">
        <v>196</v>
      </c>
      <c r="F63" s="218">
        <v>2021</v>
      </c>
      <c r="G63" s="87">
        <f>I63</f>
        <v>3573300</v>
      </c>
      <c r="H63" s="92">
        <v>0</v>
      </c>
      <c r="I63" s="87">
        <v>3573300</v>
      </c>
      <c r="J63" s="218"/>
      <c r="K63" s="59">
        <v>2015</v>
      </c>
      <c r="L63" s="63">
        <f>49668+1247476.66</f>
        <v>1297144.6599999999</v>
      </c>
      <c r="M63" s="107">
        <f>I63-L63</f>
        <v>2276155.34</v>
      </c>
    </row>
    <row r="64" spans="1:52" s="145" customFormat="1" ht="31.5" x14ac:dyDescent="0.25">
      <c r="A64" s="247"/>
      <c r="B64" s="248"/>
      <c r="C64" s="246"/>
      <c r="D64" s="248"/>
      <c r="E64" s="98" t="s">
        <v>327</v>
      </c>
      <c r="F64" s="218">
        <v>2021</v>
      </c>
      <c r="G64" s="87">
        <v>3573300</v>
      </c>
      <c r="H64" s="92">
        <v>0</v>
      </c>
      <c r="I64" s="87">
        <v>49668</v>
      </c>
      <c r="J64" s="218"/>
      <c r="K64" s="59">
        <v>2015</v>
      </c>
      <c r="L64" s="107"/>
      <c r="M64" s="107"/>
    </row>
    <row r="65" spans="1:13" s="145" customFormat="1" ht="31.5" x14ac:dyDescent="0.25">
      <c r="A65" s="247"/>
      <c r="B65" s="248"/>
      <c r="C65" s="246"/>
      <c r="D65" s="248"/>
      <c r="E65" s="98" t="s">
        <v>328</v>
      </c>
      <c r="F65" s="218">
        <v>2021</v>
      </c>
      <c r="G65" s="87">
        <v>3573300</v>
      </c>
      <c r="H65" s="92">
        <v>0</v>
      </c>
      <c r="I65" s="87">
        <v>49900</v>
      </c>
      <c r="J65" s="218"/>
      <c r="K65" s="59">
        <v>2015</v>
      </c>
      <c r="L65" s="107"/>
      <c r="M65" s="107"/>
    </row>
    <row r="66" spans="1:13" s="145" customFormat="1" ht="31.5" x14ac:dyDescent="0.25">
      <c r="A66" s="247"/>
      <c r="B66" s="248"/>
      <c r="C66" s="246"/>
      <c r="D66" s="248"/>
      <c r="E66" s="98" t="s">
        <v>45</v>
      </c>
      <c r="F66" s="218">
        <v>2021</v>
      </c>
      <c r="G66" s="87">
        <f>I66</f>
        <v>0</v>
      </c>
      <c r="H66" s="92">
        <v>0</v>
      </c>
      <c r="I66" s="87">
        <f>3960000-49990-3910010</f>
        <v>0</v>
      </c>
      <c r="J66" s="218"/>
      <c r="K66" s="59">
        <v>2016</v>
      </c>
      <c r="L66" s="107"/>
      <c r="M66" s="107">
        <f>I66-L66</f>
        <v>0</v>
      </c>
    </row>
    <row r="67" spans="1:13" s="145" customFormat="1" ht="31.5" x14ac:dyDescent="0.25">
      <c r="A67" s="247"/>
      <c r="B67" s="248"/>
      <c r="C67" s="246"/>
      <c r="D67" s="248"/>
      <c r="E67" s="98" t="s">
        <v>195</v>
      </c>
      <c r="F67" s="218" t="s">
        <v>184</v>
      </c>
      <c r="G67" s="87">
        <v>158216750</v>
      </c>
      <c r="H67" s="92">
        <v>0</v>
      </c>
      <c r="I67" s="87">
        <f>26357340-10000000</f>
        <v>16357340</v>
      </c>
      <c r="J67" s="218"/>
      <c r="K67" s="59">
        <v>2017</v>
      </c>
      <c r="L67" s="63">
        <f>3166666.67+16237.69+591828.1+2989.69+1749005.46+8945.73</f>
        <v>5535673.3399999999</v>
      </c>
      <c r="M67" s="107">
        <f>I67-L67</f>
        <v>10821666.66</v>
      </c>
    </row>
    <row r="68" spans="1:13" s="145" customFormat="1" ht="42.75" customHeight="1" x14ac:dyDescent="0.25">
      <c r="A68" s="247"/>
      <c r="B68" s="248"/>
      <c r="C68" s="246"/>
      <c r="D68" s="248"/>
      <c r="E68" s="98" t="s">
        <v>198</v>
      </c>
      <c r="F68" s="218">
        <v>2021</v>
      </c>
      <c r="G68" s="87">
        <f>I68</f>
        <v>307000</v>
      </c>
      <c r="H68" s="92">
        <v>0</v>
      </c>
      <c r="I68" s="87">
        <v>307000</v>
      </c>
      <c r="J68" s="218"/>
      <c r="K68" s="59">
        <v>2034</v>
      </c>
      <c r="L68" s="107"/>
      <c r="M68" s="107">
        <f>I68-L68</f>
        <v>307000</v>
      </c>
    </row>
    <row r="69" spans="1:13" s="145" customFormat="1" ht="31.5" x14ac:dyDescent="0.25">
      <c r="A69" s="247"/>
      <c r="B69" s="248"/>
      <c r="C69" s="246"/>
      <c r="D69" s="248"/>
      <c r="E69" s="98" t="s">
        <v>240</v>
      </c>
      <c r="F69" s="218">
        <v>2021</v>
      </c>
      <c r="G69" s="87">
        <f>I69</f>
        <v>1180246</v>
      </c>
      <c r="H69" s="92">
        <v>0</v>
      </c>
      <c r="I69" s="87">
        <f>123000+1057246</f>
        <v>1180246</v>
      </c>
      <c r="J69" s="218"/>
      <c r="K69" s="59">
        <v>2035</v>
      </c>
      <c r="L69" s="63">
        <v>0</v>
      </c>
      <c r="M69" s="107">
        <f>I69-L69</f>
        <v>1180246</v>
      </c>
    </row>
    <row r="70" spans="1:13" s="145" customFormat="1" ht="31.5" x14ac:dyDescent="0.25">
      <c r="A70" s="247"/>
      <c r="B70" s="248"/>
      <c r="C70" s="246"/>
      <c r="D70" s="248"/>
      <c r="E70" s="98" t="s">
        <v>326</v>
      </c>
      <c r="F70" s="218">
        <v>2021</v>
      </c>
      <c r="G70" s="87">
        <v>48890</v>
      </c>
      <c r="H70" s="92">
        <v>0</v>
      </c>
      <c r="I70" s="87">
        <v>48890</v>
      </c>
      <c r="J70" s="218"/>
      <c r="K70" s="59">
        <v>2194</v>
      </c>
      <c r="L70" s="63"/>
      <c r="M70" s="107"/>
    </row>
    <row r="71" spans="1:13" s="145" customFormat="1" ht="27" customHeight="1" x14ac:dyDescent="0.25">
      <c r="A71" s="247"/>
      <c r="B71" s="248"/>
      <c r="C71" s="246"/>
      <c r="D71" s="248"/>
      <c r="E71" s="98" t="s">
        <v>197</v>
      </c>
      <c r="F71" s="31" t="s">
        <v>184</v>
      </c>
      <c r="G71" s="87">
        <v>67620674</v>
      </c>
      <c r="H71" s="92">
        <v>0.3</v>
      </c>
      <c r="I71" s="87">
        <v>2714160</v>
      </c>
      <c r="J71" s="31"/>
      <c r="K71" s="59">
        <v>2003</v>
      </c>
      <c r="L71" s="107">
        <v>2714159.04</v>
      </c>
      <c r="M71" s="107">
        <f t="shared" ref="M71:M76" si="5">I71-L71</f>
        <v>0.9599999999627471</v>
      </c>
    </row>
    <row r="72" spans="1:13" s="145" customFormat="1" ht="34.5" customHeight="1" x14ac:dyDescent="0.25">
      <c r="A72" s="247"/>
      <c r="B72" s="248"/>
      <c r="C72" s="246"/>
      <c r="D72" s="248"/>
      <c r="E72" s="104" t="s">
        <v>243</v>
      </c>
      <c r="F72" s="31">
        <v>2021</v>
      </c>
      <c r="G72" s="106">
        <v>289310</v>
      </c>
      <c r="H72" s="92">
        <v>0</v>
      </c>
      <c r="I72" s="87">
        <v>289310</v>
      </c>
      <c r="J72" s="31"/>
      <c r="K72" s="59">
        <v>2136</v>
      </c>
      <c r="L72" s="107">
        <v>289309.64</v>
      </c>
      <c r="M72" s="107">
        <f t="shared" si="5"/>
        <v>0.35999999998603016</v>
      </c>
    </row>
    <row r="73" spans="1:13" s="145" customFormat="1" ht="43.5" customHeight="1" x14ac:dyDescent="0.25">
      <c r="A73" s="247"/>
      <c r="B73" s="248"/>
      <c r="C73" s="246"/>
      <c r="D73" s="248"/>
      <c r="E73" s="104" t="s">
        <v>244</v>
      </c>
      <c r="F73" s="31">
        <v>2021</v>
      </c>
      <c r="G73" s="204">
        <v>476280</v>
      </c>
      <c r="H73" s="205">
        <v>0</v>
      </c>
      <c r="I73" s="206">
        <v>476280</v>
      </c>
      <c r="J73" s="201"/>
      <c r="K73" s="59">
        <v>2137</v>
      </c>
      <c r="L73" s="63">
        <f>72446.73+42274.08+30223.94+35140.62+43102.39+56236.29+20896.84</f>
        <v>300320.89</v>
      </c>
      <c r="M73" s="107">
        <f t="shared" si="5"/>
        <v>175959.11</v>
      </c>
    </row>
    <row r="74" spans="1:13" s="145" customFormat="1" ht="39" customHeight="1" x14ac:dyDescent="0.25">
      <c r="A74" s="247"/>
      <c r="B74" s="248"/>
      <c r="C74" s="246"/>
      <c r="D74" s="248"/>
      <c r="E74" s="98" t="s">
        <v>201</v>
      </c>
      <c r="F74" s="31">
        <v>2021</v>
      </c>
      <c r="G74" s="206">
        <v>13801319</v>
      </c>
      <c r="H74" s="205">
        <v>0</v>
      </c>
      <c r="I74" s="206">
        <v>1483886</v>
      </c>
      <c r="J74" s="201"/>
      <c r="K74" s="59">
        <v>2046</v>
      </c>
      <c r="L74" s="63">
        <f>289024.07+196732.48+614598.72+383530.73</f>
        <v>1483886</v>
      </c>
      <c r="M74" s="107">
        <f t="shared" si="5"/>
        <v>0</v>
      </c>
    </row>
    <row r="75" spans="1:13" s="145" customFormat="1" ht="41.25" customHeight="1" x14ac:dyDescent="0.25">
      <c r="A75" s="247"/>
      <c r="B75" s="248"/>
      <c r="C75" s="246"/>
      <c r="D75" s="248"/>
      <c r="E75" s="104" t="s">
        <v>241</v>
      </c>
      <c r="F75" s="31">
        <v>2021</v>
      </c>
      <c r="G75" s="106">
        <v>134450</v>
      </c>
      <c r="H75" s="92">
        <v>0</v>
      </c>
      <c r="I75" s="87">
        <v>134450</v>
      </c>
      <c r="J75" s="31"/>
      <c r="K75" s="59">
        <v>2134</v>
      </c>
      <c r="L75" s="63">
        <f>13323.43+36789.05+4249.64+8972.89+65435.62+5679.37</f>
        <v>134450</v>
      </c>
      <c r="M75" s="107">
        <f t="shared" si="5"/>
        <v>0</v>
      </c>
    </row>
    <row r="76" spans="1:13" s="145" customFormat="1" ht="47.25" customHeight="1" x14ac:dyDescent="0.25">
      <c r="A76" s="247"/>
      <c r="B76" s="248"/>
      <c r="C76" s="246"/>
      <c r="D76" s="248"/>
      <c r="E76" s="104" t="s">
        <v>242</v>
      </c>
      <c r="F76" s="31">
        <v>2021</v>
      </c>
      <c r="G76" s="106">
        <v>38880</v>
      </c>
      <c r="H76" s="92">
        <v>0</v>
      </c>
      <c r="I76" s="87">
        <v>38880</v>
      </c>
      <c r="J76" s="31"/>
      <c r="K76" s="59">
        <v>2135</v>
      </c>
      <c r="L76" s="107">
        <f>17820+21060</f>
        <v>38880</v>
      </c>
      <c r="M76" s="107">
        <f t="shared" si="5"/>
        <v>0</v>
      </c>
    </row>
    <row r="77" spans="1:13" s="145" customFormat="1" ht="47.25" customHeight="1" x14ac:dyDescent="0.25">
      <c r="A77" s="247"/>
      <c r="B77" s="248"/>
      <c r="C77" s="246"/>
      <c r="D77" s="248"/>
      <c r="E77" s="104" t="s">
        <v>329</v>
      </c>
      <c r="F77" s="218">
        <v>2021</v>
      </c>
      <c r="G77" s="106">
        <v>80066712</v>
      </c>
      <c r="H77" s="92">
        <v>0</v>
      </c>
      <c r="I77" s="106">
        <v>173340</v>
      </c>
      <c r="J77" s="218"/>
      <c r="K77" s="59">
        <v>2138</v>
      </c>
      <c r="L77" s="107"/>
      <c r="M77" s="107"/>
    </row>
    <row r="78" spans="1:13" s="145" customFormat="1" ht="46.5" customHeight="1" x14ac:dyDescent="0.25">
      <c r="A78" s="247"/>
      <c r="B78" s="248"/>
      <c r="C78" s="246"/>
      <c r="D78" s="248"/>
      <c r="E78" s="104" t="s">
        <v>246</v>
      </c>
      <c r="F78" s="31">
        <v>2021</v>
      </c>
      <c r="G78" s="106">
        <v>98099</v>
      </c>
      <c r="H78" s="92">
        <v>0</v>
      </c>
      <c r="I78" s="106">
        <v>98099</v>
      </c>
      <c r="J78" s="31"/>
      <c r="K78" s="59">
        <v>2139</v>
      </c>
      <c r="L78" s="107"/>
      <c r="M78" s="107">
        <f t="shared" ref="M78:M83" si="6">I78-L78</f>
        <v>98099</v>
      </c>
    </row>
    <row r="79" spans="1:13" s="145" customFormat="1" ht="42.75" customHeight="1" x14ac:dyDescent="0.25">
      <c r="A79" s="247"/>
      <c r="B79" s="248"/>
      <c r="C79" s="246"/>
      <c r="D79" s="248"/>
      <c r="E79" s="104" t="s">
        <v>245</v>
      </c>
      <c r="F79" s="31">
        <v>2021</v>
      </c>
      <c r="G79" s="106">
        <v>894230</v>
      </c>
      <c r="H79" s="92">
        <v>0</v>
      </c>
      <c r="I79" s="106">
        <v>894230</v>
      </c>
      <c r="J79" s="31"/>
      <c r="K79" s="59">
        <v>2138</v>
      </c>
      <c r="L79" s="107">
        <f>136520</f>
        <v>136520</v>
      </c>
      <c r="M79" s="107">
        <f t="shared" si="6"/>
        <v>757710</v>
      </c>
    </row>
    <row r="80" spans="1:13" s="145" customFormat="1" ht="68.25" customHeight="1" x14ac:dyDescent="0.25">
      <c r="A80" s="247"/>
      <c r="B80" s="248"/>
      <c r="C80" s="246"/>
      <c r="D80" s="248"/>
      <c r="E80" s="104" t="s">
        <v>238</v>
      </c>
      <c r="F80" s="31">
        <v>2021</v>
      </c>
      <c r="G80" s="106">
        <v>127980</v>
      </c>
      <c r="H80" s="92">
        <v>0</v>
      </c>
      <c r="I80" s="87">
        <v>127980</v>
      </c>
      <c r="J80" s="31"/>
      <c r="K80" s="59">
        <v>2132</v>
      </c>
      <c r="L80" s="63">
        <f>18067.16+35825.38+18491.57</f>
        <v>72384.109999999986</v>
      </c>
      <c r="M80" s="107">
        <f t="shared" si="6"/>
        <v>55595.890000000014</v>
      </c>
    </row>
    <row r="81" spans="1:52" s="145" customFormat="1" ht="64.5" customHeight="1" x14ac:dyDescent="0.25">
      <c r="A81" s="247"/>
      <c r="B81" s="248"/>
      <c r="C81" s="246"/>
      <c r="D81" s="248"/>
      <c r="E81" s="104" t="s">
        <v>239</v>
      </c>
      <c r="F81" s="31">
        <v>2021</v>
      </c>
      <c r="G81" s="106">
        <v>30780</v>
      </c>
      <c r="H81" s="92">
        <v>0</v>
      </c>
      <c r="I81" s="87">
        <v>30780</v>
      </c>
      <c r="J81" s="31"/>
      <c r="K81" s="59">
        <v>2133</v>
      </c>
      <c r="L81" s="107">
        <f>21060+9720</f>
        <v>30780</v>
      </c>
      <c r="M81" s="107">
        <f t="shared" si="6"/>
        <v>0</v>
      </c>
    </row>
    <row r="82" spans="1:52" s="145" customFormat="1" ht="46.5" customHeight="1" x14ac:dyDescent="0.25">
      <c r="A82" s="247"/>
      <c r="B82" s="248"/>
      <c r="C82" s="246"/>
      <c r="D82" s="248"/>
      <c r="E82" s="104" t="s">
        <v>289</v>
      </c>
      <c r="F82" s="31">
        <v>2021</v>
      </c>
      <c r="G82" s="87">
        <v>165800</v>
      </c>
      <c r="H82" s="92">
        <v>0</v>
      </c>
      <c r="I82" s="87">
        <v>165800</v>
      </c>
      <c r="J82" s="31"/>
      <c r="K82" s="59">
        <v>2172</v>
      </c>
      <c r="L82" s="107"/>
      <c r="M82" s="107">
        <f t="shared" si="6"/>
        <v>165800</v>
      </c>
    </row>
    <row r="83" spans="1:52" s="145" customFormat="1" ht="46.5" customHeight="1" x14ac:dyDescent="0.25">
      <c r="A83" s="234"/>
      <c r="B83" s="229"/>
      <c r="C83" s="242"/>
      <c r="D83" s="229"/>
      <c r="E83" s="34" t="s">
        <v>325</v>
      </c>
      <c r="F83" s="218">
        <v>2021</v>
      </c>
      <c r="G83" s="87">
        <v>3267358</v>
      </c>
      <c r="H83" s="92">
        <v>0</v>
      </c>
      <c r="I83" s="87">
        <v>1263924</v>
      </c>
      <c r="J83" s="218"/>
      <c r="K83" s="59">
        <v>2193</v>
      </c>
      <c r="L83" s="107"/>
      <c r="M83" s="107">
        <f t="shared" si="6"/>
        <v>1263924</v>
      </c>
    </row>
    <row r="84" spans="1:52" s="145" customFormat="1" ht="19.5" customHeight="1" x14ac:dyDescent="0.2">
      <c r="A84" s="230" t="s">
        <v>145</v>
      </c>
      <c r="B84" s="231"/>
      <c r="C84" s="231"/>
      <c r="D84" s="231"/>
      <c r="E84" s="231"/>
      <c r="F84" s="231"/>
      <c r="G84" s="231"/>
      <c r="H84" s="231"/>
      <c r="I84" s="231"/>
      <c r="J84" s="232"/>
      <c r="K84" s="167"/>
      <c r="L84" s="168"/>
      <c r="M84" s="169"/>
    </row>
    <row r="85" spans="1:52" s="145" customFormat="1" ht="31.5" x14ac:dyDescent="0.25">
      <c r="A85" s="233" t="s">
        <v>65</v>
      </c>
      <c r="B85" s="228">
        <v>7368</v>
      </c>
      <c r="C85" s="233" t="s">
        <v>5</v>
      </c>
      <c r="D85" s="228" t="s">
        <v>66</v>
      </c>
      <c r="E85" s="34" t="s">
        <v>167</v>
      </c>
      <c r="F85" s="31" t="s">
        <v>184</v>
      </c>
      <c r="G85" s="87">
        <v>67620674</v>
      </c>
      <c r="H85" s="92">
        <v>0.3</v>
      </c>
      <c r="I85" s="87">
        <f>30000000-22754622</f>
        <v>7245378</v>
      </c>
      <c r="J85" s="31"/>
      <c r="K85" s="59">
        <v>2044</v>
      </c>
      <c r="L85" s="108">
        <f>4822676.23+949801.15+1321254.96+151645.66</f>
        <v>7245378.0000000009</v>
      </c>
      <c r="M85" s="107">
        <f t="shared" ref="M85:M91" si="7">I85-L85</f>
        <v>0</v>
      </c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s="145" customFormat="1" ht="53.25" customHeight="1" x14ac:dyDescent="0.25">
      <c r="A86" s="247"/>
      <c r="B86" s="248"/>
      <c r="C86" s="247"/>
      <c r="D86" s="248"/>
      <c r="E86" s="34" t="s">
        <v>234</v>
      </c>
      <c r="F86" s="31">
        <v>2021</v>
      </c>
      <c r="G86" s="87">
        <v>9513572</v>
      </c>
      <c r="H86" s="92">
        <v>0</v>
      </c>
      <c r="I86" s="87">
        <v>3458984</v>
      </c>
      <c r="J86" s="31"/>
      <c r="K86" s="59">
        <v>2045</v>
      </c>
      <c r="L86" s="108">
        <f>2400009.16+948682.46+110292.38</f>
        <v>3458984</v>
      </c>
      <c r="M86" s="107">
        <f t="shared" si="7"/>
        <v>0</v>
      </c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s="145" customFormat="1" ht="40.5" customHeight="1" x14ac:dyDescent="0.25">
      <c r="A87" s="247"/>
      <c r="B87" s="248"/>
      <c r="C87" s="247"/>
      <c r="D87" s="248"/>
      <c r="E87" s="170" t="s">
        <v>202</v>
      </c>
      <c r="F87" s="31">
        <v>2021</v>
      </c>
      <c r="G87" s="87">
        <v>13801319</v>
      </c>
      <c r="H87" s="92">
        <v>0</v>
      </c>
      <c r="I87" s="87">
        <v>5970687</v>
      </c>
      <c r="J87" s="31"/>
      <c r="K87" s="59">
        <v>2046</v>
      </c>
      <c r="L87" s="108">
        <f>2730000+2370897.32+869789.68</f>
        <v>5970687</v>
      </c>
      <c r="M87" s="107">
        <f t="shared" si="7"/>
        <v>0</v>
      </c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s="145" customFormat="1" ht="40.5" customHeight="1" x14ac:dyDescent="0.25">
      <c r="A88" s="234"/>
      <c r="B88" s="229"/>
      <c r="C88" s="234"/>
      <c r="D88" s="229"/>
      <c r="E88" s="97" t="s">
        <v>233</v>
      </c>
      <c r="F88" s="31">
        <v>2021</v>
      </c>
      <c r="G88" s="87">
        <v>80066712</v>
      </c>
      <c r="H88" s="92">
        <v>0.6</v>
      </c>
      <c r="I88" s="87">
        <v>30000000</v>
      </c>
      <c r="J88" s="31"/>
      <c r="K88" s="59">
        <v>2129</v>
      </c>
      <c r="L88" s="108">
        <f>14643439.1+15356560.85</f>
        <v>29999999.949999999</v>
      </c>
      <c r="M88" s="107">
        <f t="shared" si="7"/>
        <v>5.000000074505806E-2</v>
      </c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s="145" customFormat="1" ht="31.5" x14ac:dyDescent="0.25">
      <c r="A89" s="188" t="s">
        <v>141</v>
      </c>
      <c r="B89" s="187">
        <v>7366</v>
      </c>
      <c r="C89" s="189" t="s">
        <v>5</v>
      </c>
      <c r="D89" s="191" t="s">
        <v>142</v>
      </c>
      <c r="E89" s="34" t="s">
        <v>203</v>
      </c>
      <c r="F89" s="31" t="s">
        <v>184</v>
      </c>
      <c r="G89" s="87">
        <v>158216750</v>
      </c>
      <c r="H89" s="92">
        <v>0</v>
      </c>
      <c r="I89" s="87">
        <f>35169947-5169947</f>
        <v>30000000</v>
      </c>
      <c r="J89" s="31"/>
      <c r="K89" s="59">
        <v>2097</v>
      </c>
      <c r="L89" s="108">
        <f>15833333.33+8745027.29</f>
        <v>24578360.619999997</v>
      </c>
      <c r="M89" s="107">
        <f t="shared" si="7"/>
        <v>5421639.3800000027</v>
      </c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ht="31.5" x14ac:dyDescent="0.25">
      <c r="A90" s="81" t="s">
        <v>175</v>
      </c>
      <c r="B90" s="35"/>
      <c r="C90" s="35"/>
      <c r="D90" s="36" t="s">
        <v>147</v>
      </c>
      <c r="E90" s="37"/>
      <c r="F90" s="44" t="s">
        <v>7</v>
      </c>
      <c r="G90" s="84" t="s">
        <v>7</v>
      </c>
      <c r="H90" s="84" t="s">
        <v>7</v>
      </c>
      <c r="I90" s="84">
        <f>I91</f>
        <v>860107</v>
      </c>
      <c r="J90" s="90" t="s">
        <v>7</v>
      </c>
      <c r="K90" s="103"/>
      <c r="L90" s="200"/>
      <c r="M90" s="101">
        <f t="shared" si="7"/>
        <v>860107</v>
      </c>
    </row>
    <row r="91" spans="1:52" s="15" customFormat="1" ht="31.5" x14ac:dyDescent="0.25">
      <c r="A91" s="215" t="s">
        <v>148</v>
      </c>
      <c r="B91" s="45">
        <v>7323</v>
      </c>
      <c r="C91" s="219" t="s">
        <v>24</v>
      </c>
      <c r="D91" s="216" t="s">
        <v>149</v>
      </c>
      <c r="E91" s="34" t="s">
        <v>330</v>
      </c>
      <c r="F91" s="218">
        <v>2021</v>
      </c>
      <c r="G91" s="87">
        <f>I91</f>
        <v>860107</v>
      </c>
      <c r="H91" s="93">
        <v>0</v>
      </c>
      <c r="I91" s="87">
        <v>860107</v>
      </c>
      <c r="J91" s="33"/>
      <c r="K91" s="58">
        <v>2195</v>
      </c>
      <c r="L91" s="108">
        <v>0</v>
      </c>
      <c r="M91" s="57">
        <f t="shared" si="7"/>
        <v>860107</v>
      </c>
    </row>
    <row r="92" spans="1:52" s="152" customFormat="1" ht="31.5" x14ac:dyDescent="0.25">
      <c r="A92" s="159" t="s">
        <v>179</v>
      </c>
      <c r="B92" s="160"/>
      <c r="C92" s="160"/>
      <c r="D92" s="36" t="s">
        <v>72</v>
      </c>
      <c r="E92" s="37"/>
      <c r="F92" s="44" t="s">
        <v>7</v>
      </c>
      <c r="G92" s="83" t="s">
        <v>7</v>
      </c>
      <c r="H92" s="83" t="s">
        <v>7</v>
      </c>
      <c r="I92" s="83">
        <f>SUM(I93:I96)</f>
        <v>1016000</v>
      </c>
      <c r="J92" s="44" t="s">
        <v>7</v>
      </c>
      <c r="K92" s="171"/>
      <c r="L92" s="172"/>
      <c r="M92" s="107"/>
    </row>
    <row r="93" spans="1:52" s="145" customFormat="1" ht="35.25" customHeight="1" x14ac:dyDescent="0.25">
      <c r="A93" s="233" t="s">
        <v>69</v>
      </c>
      <c r="B93" s="241" t="s">
        <v>68</v>
      </c>
      <c r="C93" s="241" t="s">
        <v>16</v>
      </c>
      <c r="D93" s="228" t="s">
        <v>70</v>
      </c>
      <c r="E93" s="34" t="s">
        <v>71</v>
      </c>
      <c r="F93" s="31">
        <v>2021</v>
      </c>
      <c r="G93" s="87">
        <f>I93</f>
        <v>732113.91</v>
      </c>
      <c r="H93" s="92">
        <v>0</v>
      </c>
      <c r="I93" s="87">
        <f>866000-133886.09</f>
        <v>732113.91</v>
      </c>
      <c r="J93" s="31"/>
      <c r="K93" s="59">
        <v>2048</v>
      </c>
      <c r="L93" s="107">
        <f>49516+237154.63+283962.35+161480.93</f>
        <v>732113.90999999992</v>
      </c>
      <c r="M93" s="107">
        <f>I93-L93</f>
        <v>0</v>
      </c>
    </row>
    <row r="94" spans="1:52" s="145" customFormat="1" ht="35.25" customHeight="1" x14ac:dyDescent="0.25">
      <c r="A94" s="234"/>
      <c r="B94" s="242"/>
      <c r="C94" s="242"/>
      <c r="D94" s="229"/>
      <c r="E94" s="34" t="s">
        <v>10</v>
      </c>
      <c r="F94" s="31">
        <v>2021</v>
      </c>
      <c r="G94" s="87">
        <v>0</v>
      </c>
      <c r="H94" s="92">
        <v>0</v>
      </c>
      <c r="I94" s="87">
        <v>120776.09</v>
      </c>
      <c r="J94" s="31"/>
      <c r="K94" s="59">
        <v>2119</v>
      </c>
      <c r="L94" s="107">
        <v>0</v>
      </c>
      <c r="M94" s="107">
        <f>I94-L94</f>
        <v>120776.09</v>
      </c>
    </row>
    <row r="95" spans="1:52" s="15" customFormat="1" ht="18.75" x14ac:dyDescent="0.25">
      <c r="A95" s="188" t="s">
        <v>206</v>
      </c>
      <c r="B95" s="189">
        <v>4030</v>
      </c>
      <c r="C95" s="189" t="s">
        <v>208</v>
      </c>
      <c r="D95" s="187" t="s">
        <v>207</v>
      </c>
      <c r="E95" s="34" t="s">
        <v>10</v>
      </c>
      <c r="F95" s="31">
        <v>2021</v>
      </c>
      <c r="G95" s="87">
        <v>0</v>
      </c>
      <c r="H95" s="93">
        <v>0</v>
      </c>
      <c r="I95" s="87">
        <v>13110</v>
      </c>
      <c r="J95" s="33"/>
      <c r="K95" s="74">
        <v>2119</v>
      </c>
      <c r="L95" s="107">
        <v>0</v>
      </c>
      <c r="M95" s="57">
        <f>I95</f>
        <v>13110</v>
      </c>
    </row>
    <row r="96" spans="1:52" s="15" customFormat="1" ht="18.75" x14ac:dyDescent="0.25">
      <c r="A96" s="213" t="s">
        <v>336</v>
      </c>
      <c r="B96" s="214">
        <v>1080</v>
      </c>
      <c r="C96" s="214" t="s">
        <v>337</v>
      </c>
      <c r="D96" s="212" t="s">
        <v>335</v>
      </c>
      <c r="E96" s="34" t="s">
        <v>10</v>
      </c>
      <c r="F96" s="218">
        <v>2021</v>
      </c>
      <c r="G96" s="87">
        <v>0</v>
      </c>
      <c r="H96" s="93">
        <v>0</v>
      </c>
      <c r="I96" s="87">
        <v>150000</v>
      </c>
      <c r="J96" s="33"/>
      <c r="K96" s="74">
        <v>2119</v>
      </c>
      <c r="L96" s="107"/>
      <c r="M96" s="57"/>
    </row>
    <row r="97" spans="1:14" s="6" customFormat="1" ht="15.75" x14ac:dyDescent="0.25">
      <c r="A97" s="159" t="s">
        <v>178</v>
      </c>
      <c r="B97" s="39"/>
      <c r="C97" s="51"/>
      <c r="D97" s="52" t="s">
        <v>83</v>
      </c>
      <c r="E97" s="173"/>
      <c r="F97" s="44" t="s">
        <v>7</v>
      </c>
      <c r="G97" s="83" t="s">
        <v>7</v>
      </c>
      <c r="H97" s="83" t="s">
        <v>7</v>
      </c>
      <c r="I97" s="83">
        <f>I98</f>
        <v>15500</v>
      </c>
      <c r="J97" s="44" t="s">
        <v>7</v>
      </c>
      <c r="K97" s="300"/>
      <c r="L97" s="301"/>
      <c r="M97" s="302"/>
    </row>
    <row r="98" spans="1:14" s="145" customFormat="1" ht="18.75" x14ac:dyDescent="0.2">
      <c r="A98" s="140" t="s">
        <v>84</v>
      </c>
      <c r="B98" s="135">
        <v>5041</v>
      </c>
      <c r="C98" s="136" t="s">
        <v>86</v>
      </c>
      <c r="D98" s="54" t="s">
        <v>85</v>
      </c>
      <c r="E98" s="16" t="s">
        <v>10</v>
      </c>
      <c r="F98" s="31">
        <v>2021</v>
      </c>
      <c r="G98" s="87">
        <v>0</v>
      </c>
      <c r="H98" s="92">
        <v>0</v>
      </c>
      <c r="I98" s="87">
        <v>15500</v>
      </c>
      <c r="J98" s="31"/>
      <c r="K98" s="59">
        <v>2051</v>
      </c>
      <c r="L98" s="107">
        <v>15500</v>
      </c>
      <c r="M98" s="107">
        <f>I98-L98</f>
        <v>0</v>
      </c>
      <c r="N98" s="145" t="s">
        <v>102</v>
      </c>
    </row>
    <row r="99" spans="1:14" s="174" customFormat="1" ht="20.25" customHeight="1" x14ac:dyDescent="0.3">
      <c r="A99" s="287" t="s">
        <v>14</v>
      </c>
      <c r="B99" s="288"/>
      <c r="C99" s="288"/>
      <c r="D99" s="288"/>
      <c r="E99" s="289"/>
      <c r="F99" s="91" t="s">
        <v>7</v>
      </c>
      <c r="G99" s="82" t="s">
        <v>7</v>
      </c>
      <c r="H99" s="82" t="s">
        <v>7</v>
      </c>
      <c r="I99" s="82">
        <f>I100+I118+I124+I126+I193+I180+I191+I233+I241+I244+I237</f>
        <v>182152896.71000001</v>
      </c>
      <c r="J99" s="91" t="s">
        <v>7</v>
      </c>
      <c r="K99" s="183"/>
      <c r="L99" s="65">
        <f>SUM(L100:L245)</f>
        <v>103392158.53</v>
      </c>
      <c r="M99" s="65">
        <f>I99-L99</f>
        <v>78760738.180000007</v>
      </c>
    </row>
    <row r="100" spans="1:14" s="152" customFormat="1" ht="18.75" x14ac:dyDescent="0.2">
      <c r="A100" s="159" t="s">
        <v>177</v>
      </c>
      <c r="B100" s="43"/>
      <c r="C100" s="42"/>
      <c r="D100" s="36" t="s">
        <v>9</v>
      </c>
      <c r="E100" s="44"/>
      <c r="F100" s="44" t="s">
        <v>7</v>
      </c>
      <c r="G100" s="83" t="s">
        <v>7</v>
      </c>
      <c r="H100" s="83" t="s">
        <v>7</v>
      </c>
      <c r="I100" s="83">
        <f>SUM(I101:I113)+I115+I116+I117</f>
        <v>21505208</v>
      </c>
      <c r="J100" s="44" t="s">
        <v>7</v>
      </c>
      <c r="K100" s="161"/>
      <c r="L100" s="162"/>
      <c r="M100" s="163"/>
    </row>
    <row r="101" spans="1:14" s="145" customFormat="1" ht="63" x14ac:dyDescent="0.2">
      <c r="A101" s="136" t="s">
        <v>8</v>
      </c>
      <c r="B101" s="45" t="s">
        <v>15</v>
      </c>
      <c r="C101" s="140" t="s">
        <v>16</v>
      </c>
      <c r="D101" s="135" t="s">
        <v>17</v>
      </c>
      <c r="E101" s="16" t="s">
        <v>10</v>
      </c>
      <c r="F101" s="31">
        <v>2021</v>
      </c>
      <c r="G101" s="87">
        <v>0</v>
      </c>
      <c r="H101" s="144">
        <v>0</v>
      </c>
      <c r="I101" s="87">
        <f>662000-24800+1270000</f>
        <v>1907200</v>
      </c>
      <c r="J101" s="31"/>
      <c r="K101" s="59">
        <v>2026</v>
      </c>
      <c r="L101" s="107">
        <f>76930+1226400+107475+64120</f>
        <v>1474925</v>
      </c>
      <c r="M101" s="107">
        <f t="shared" ref="M101:M113" si="8">I101-L101</f>
        <v>432275</v>
      </c>
      <c r="N101" s="145" t="s">
        <v>215</v>
      </c>
    </row>
    <row r="102" spans="1:14" s="145" customFormat="1" ht="18.75" x14ac:dyDescent="0.2">
      <c r="A102" s="136" t="s">
        <v>94</v>
      </c>
      <c r="B102" s="45">
        <v>8230</v>
      </c>
      <c r="C102" s="140" t="s">
        <v>96</v>
      </c>
      <c r="D102" s="135" t="s">
        <v>95</v>
      </c>
      <c r="E102" s="16" t="s">
        <v>10</v>
      </c>
      <c r="F102" s="31">
        <v>2021</v>
      </c>
      <c r="G102" s="87">
        <v>0</v>
      </c>
      <c r="H102" s="144">
        <v>0</v>
      </c>
      <c r="I102" s="87">
        <v>1905000</v>
      </c>
      <c r="J102" s="31"/>
      <c r="K102" s="59">
        <v>2055</v>
      </c>
      <c r="L102" s="107">
        <f>1839600-91980</f>
        <v>1747620</v>
      </c>
      <c r="M102" s="107">
        <f t="shared" si="8"/>
        <v>157380</v>
      </c>
      <c r="N102" s="145" t="s">
        <v>211</v>
      </c>
    </row>
    <row r="103" spans="1:14" s="145" customFormat="1" ht="47.25" x14ac:dyDescent="0.2">
      <c r="A103" s="233" t="s">
        <v>59</v>
      </c>
      <c r="B103" s="228">
        <v>6040</v>
      </c>
      <c r="C103" s="233" t="s">
        <v>61</v>
      </c>
      <c r="D103" s="260" t="s">
        <v>60</v>
      </c>
      <c r="E103" s="16" t="s">
        <v>99</v>
      </c>
      <c r="F103" s="31">
        <v>2021</v>
      </c>
      <c r="G103" s="87">
        <f t="shared" ref="G103:G105" si="9">I103</f>
        <v>6750</v>
      </c>
      <c r="H103" s="144">
        <v>0</v>
      </c>
      <c r="I103" s="87">
        <v>6750</v>
      </c>
      <c r="J103" s="31"/>
      <c r="K103" s="59">
        <v>2056</v>
      </c>
      <c r="L103" s="107"/>
      <c r="M103" s="107">
        <f t="shared" si="8"/>
        <v>6750</v>
      </c>
    </row>
    <row r="104" spans="1:14" s="145" customFormat="1" ht="47.25" x14ac:dyDescent="0.2">
      <c r="A104" s="247"/>
      <c r="B104" s="248"/>
      <c r="C104" s="247"/>
      <c r="D104" s="261"/>
      <c r="E104" s="16" t="s">
        <v>100</v>
      </c>
      <c r="F104" s="31">
        <v>2021</v>
      </c>
      <c r="G104" s="87">
        <f t="shared" si="9"/>
        <v>49900</v>
      </c>
      <c r="H104" s="144">
        <v>0</v>
      </c>
      <c r="I104" s="87">
        <v>49900</v>
      </c>
      <c r="J104" s="31"/>
      <c r="K104" s="59">
        <v>2057</v>
      </c>
      <c r="L104" s="107">
        <v>12883.24</v>
      </c>
      <c r="M104" s="107">
        <f t="shared" si="8"/>
        <v>37016.76</v>
      </c>
    </row>
    <row r="105" spans="1:14" s="145" customFormat="1" ht="47.25" x14ac:dyDescent="0.2">
      <c r="A105" s="247"/>
      <c r="B105" s="248"/>
      <c r="C105" s="247"/>
      <c r="D105" s="261"/>
      <c r="E105" s="16" t="s">
        <v>194</v>
      </c>
      <c r="F105" s="31">
        <v>2021</v>
      </c>
      <c r="G105" s="87">
        <f t="shared" si="9"/>
        <v>13088</v>
      </c>
      <c r="H105" s="144">
        <v>0</v>
      </c>
      <c r="I105" s="87">
        <v>13088</v>
      </c>
      <c r="J105" s="31"/>
      <c r="K105" s="59">
        <v>2058</v>
      </c>
      <c r="L105" s="107">
        <v>13088</v>
      </c>
      <c r="M105" s="107">
        <f t="shared" si="8"/>
        <v>0</v>
      </c>
    </row>
    <row r="106" spans="1:14" s="145" customFormat="1" ht="47.25" x14ac:dyDescent="0.2">
      <c r="A106" s="234"/>
      <c r="B106" s="229"/>
      <c r="C106" s="234"/>
      <c r="D106" s="262"/>
      <c r="E106" s="16" t="s">
        <v>101</v>
      </c>
      <c r="F106" s="31">
        <v>2021</v>
      </c>
      <c r="G106" s="87">
        <f>I106</f>
        <v>13088</v>
      </c>
      <c r="H106" s="144">
        <v>0</v>
      </c>
      <c r="I106" s="87">
        <v>13088</v>
      </c>
      <c r="J106" s="31"/>
      <c r="K106" s="59">
        <v>2059</v>
      </c>
      <c r="L106" s="107">
        <v>13088</v>
      </c>
      <c r="M106" s="107">
        <f t="shared" si="8"/>
        <v>0</v>
      </c>
    </row>
    <row r="107" spans="1:14" s="145" customFormat="1" ht="36.75" customHeight="1" x14ac:dyDescent="0.25">
      <c r="A107" s="140" t="s">
        <v>29</v>
      </c>
      <c r="B107" s="135">
        <v>7370</v>
      </c>
      <c r="C107" s="140" t="s">
        <v>5</v>
      </c>
      <c r="D107" s="148" t="s">
        <v>30</v>
      </c>
      <c r="E107" s="16" t="s">
        <v>123</v>
      </c>
      <c r="F107" s="31">
        <v>2021</v>
      </c>
      <c r="G107" s="87">
        <f>I107</f>
        <v>2737372</v>
      </c>
      <c r="H107" s="144">
        <v>0</v>
      </c>
      <c r="I107" s="87">
        <f>2752373-15001</f>
        <v>2737372</v>
      </c>
      <c r="J107" s="31"/>
      <c r="K107" s="59">
        <v>2060</v>
      </c>
      <c r="L107" s="107">
        <v>2712760</v>
      </c>
      <c r="M107" s="107">
        <f t="shared" si="8"/>
        <v>24612</v>
      </c>
    </row>
    <row r="108" spans="1:14" s="145" customFormat="1" ht="18.75" x14ac:dyDescent="0.2">
      <c r="A108" s="233" t="s">
        <v>11</v>
      </c>
      <c r="B108" s="228">
        <v>6030</v>
      </c>
      <c r="C108" s="233" t="s">
        <v>18</v>
      </c>
      <c r="D108" s="254" t="s">
        <v>19</v>
      </c>
      <c r="E108" s="285" t="s">
        <v>10</v>
      </c>
      <c r="F108" s="279">
        <v>2021</v>
      </c>
      <c r="G108" s="281">
        <v>0</v>
      </c>
      <c r="H108" s="283">
        <v>0</v>
      </c>
      <c r="I108" s="87">
        <v>2808550</v>
      </c>
      <c r="J108" s="31"/>
      <c r="K108" s="59">
        <v>2069</v>
      </c>
      <c r="L108" s="63">
        <f>2807400</f>
        <v>2807400</v>
      </c>
      <c r="M108" s="107">
        <f t="shared" si="8"/>
        <v>1150</v>
      </c>
    </row>
    <row r="109" spans="1:14" s="175" customFormat="1" ht="18.75" x14ac:dyDescent="0.2">
      <c r="A109" s="234"/>
      <c r="B109" s="229"/>
      <c r="C109" s="234"/>
      <c r="D109" s="256"/>
      <c r="E109" s="286"/>
      <c r="F109" s="280"/>
      <c r="G109" s="282"/>
      <c r="H109" s="284"/>
      <c r="I109" s="87">
        <v>1683000</v>
      </c>
      <c r="J109" s="31"/>
      <c r="K109" s="102">
        <v>2099</v>
      </c>
      <c r="L109" s="109">
        <v>1683000</v>
      </c>
      <c r="M109" s="109">
        <f t="shared" si="8"/>
        <v>0</v>
      </c>
      <c r="N109" s="175" t="s">
        <v>213</v>
      </c>
    </row>
    <row r="110" spans="1:14" s="145" customFormat="1" ht="47.25" x14ac:dyDescent="0.25">
      <c r="A110" s="136" t="s">
        <v>122</v>
      </c>
      <c r="B110" s="38">
        <v>7330</v>
      </c>
      <c r="C110" s="140" t="s">
        <v>5</v>
      </c>
      <c r="D110" s="176" t="s">
        <v>121</v>
      </c>
      <c r="E110" s="34" t="s">
        <v>146</v>
      </c>
      <c r="F110" s="31">
        <v>2021</v>
      </c>
      <c r="G110" s="87">
        <f>I110</f>
        <v>700000</v>
      </c>
      <c r="H110" s="144">
        <v>0</v>
      </c>
      <c r="I110" s="87">
        <v>700000</v>
      </c>
      <c r="J110" s="31"/>
      <c r="K110" s="59">
        <v>2098</v>
      </c>
      <c r="L110" s="107">
        <f>571347.6+126150.4</f>
        <v>697498</v>
      </c>
      <c r="M110" s="107">
        <f t="shared" si="8"/>
        <v>2502</v>
      </c>
    </row>
    <row r="111" spans="1:14" s="197" customFormat="1" ht="47.25" x14ac:dyDescent="0.25">
      <c r="A111" s="190" t="s">
        <v>192</v>
      </c>
      <c r="B111" s="191">
        <v>7361</v>
      </c>
      <c r="C111" s="190" t="s">
        <v>5</v>
      </c>
      <c r="D111" s="194" t="s">
        <v>193</v>
      </c>
      <c r="E111" s="97" t="s">
        <v>300</v>
      </c>
      <c r="F111" s="31">
        <v>2021</v>
      </c>
      <c r="G111" s="87">
        <v>25999836</v>
      </c>
      <c r="H111" s="144">
        <v>0</v>
      </c>
      <c r="I111" s="87">
        <v>47834</v>
      </c>
      <c r="J111" s="203"/>
      <c r="K111" s="59">
        <v>2005</v>
      </c>
      <c r="L111" s="199">
        <v>47834</v>
      </c>
      <c r="M111" s="107">
        <f t="shared" si="8"/>
        <v>0</v>
      </c>
    </row>
    <row r="112" spans="1:14" s="145" customFormat="1" ht="39.75" customHeight="1" x14ac:dyDescent="0.2">
      <c r="A112" s="136" t="s">
        <v>42</v>
      </c>
      <c r="B112" s="45">
        <v>7461</v>
      </c>
      <c r="C112" s="137" t="s">
        <v>20</v>
      </c>
      <c r="D112" s="142" t="s">
        <v>43</v>
      </c>
      <c r="E112" s="105" t="s">
        <v>254</v>
      </c>
      <c r="F112" s="31">
        <v>2021</v>
      </c>
      <c r="G112" s="87">
        <v>49920</v>
      </c>
      <c r="H112" s="144">
        <v>0</v>
      </c>
      <c r="I112" s="87">
        <v>49920</v>
      </c>
      <c r="J112" s="31"/>
      <c r="K112" s="59">
        <v>2147</v>
      </c>
      <c r="L112" s="107">
        <v>49920</v>
      </c>
      <c r="M112" s="107">
        <f t="shared" si="8"/>
        <v>0</v>
      </c>
    </row>
    <row r="113" spans="1:52" s="145" customFormat="1" ht="43.5" customHeight="1" x14ac:dyDescent="0.2">
      <c r="A113" s="136" t="s">
        <v>36</v>
      </c>
      <c r="B113" s="137">
        <v>9750</v>
      </c>
      <c r="C113" s="137" t="s">
        <v>22</v>
      </c>
      <c r="D113" s="142" t="s">
        <v>249</v>
      </c>
      <c r="E113" s="105" t="s">
        <v>272</v>
      </c>
      <c r="F113" s="31">
        <v>2021</v>
      </c>
      <c r="G113" s="87">
        <v>0</v>
      </c>
      <c r="H113" s="144">
        <v>0</v>
      </c>
      <c r="I113" s="87">
        <v>79168</v>
      </c>
      <c r="J113" s="31"/>
      <c r="K113" s="177">
        <v>2159</v>
      </c>
      <c r="L113" s="107"/>
      <c r="M113" s="107">
        <f t="shared" si="8"/>
        <v>79168</v>
      </c>
    </row>
    <row r="114" spans="1:52" s="123" customFormat="1" ht="18.75" customHeight="1" x14ac:dyDescent="0.2">
      <c r="D114" s="263" t="s">
        <v>145</v>
      </c>
      <c r="E114" s="224"/>
      <c r="F114" s="224"/>
      <c r="G114" s="224"/>
      <c r="H114" s="224"/>
      <c r="I114" s="224"/>
      <c r="J114" s="225"/>
      <c r="K114" s="122"/>
      <c r="L114" s="122"/>
      <c r="M114" s="122"/>
      <c r="N114" s="122"/>
      <c r="O114" s="122"/>
      <c r="P114" s="122"/>
      <c r="Q114" s="122"/>
      <c r="R114" s="122"/>
      <c r="S114" s="122"/>
      <c r="T114" s="122"/>
      <c r="U114" s="122"/>
      <c r="V114" s="122"/>
      <c r="W114" s="122"/>
      <c r="X114" s="122"/>
      <c r="Y114" s="122"/>
      <c r="Z114" s="122"/>
      <c r="AA114" s="122"/>
      <c r="AB114" s="122"/>
      <c r="AC114" s="122"/>
      <c r="AD114" s="122"/>
      <c r="AE114" s="122"/>
      <c r="AF114" s="122"/>
      <c r="AG114" s="122"/>
      <c r="AH114" s="122"/>
      <c r="AI114" s="122"/>
      <c r="AJ114" s="122"/>
      <c r="AK114" s="122"/>
      <c r="AL114" s="122"/>
      <c r="AM114" s="122"/>
      <c r="AN114" s="122"/>
      <c r="AO114" s="122"/>
      <c r="AP114" s="122"/>
      <c r="AQ114" s="122"/>
      <c r="AR114" s="122"/>
      <c r="AS114" s="122"/>
      <c r="AT114" s="122"/>
      <c r="AU114" s="122"/>
      <c r="AV114" s="122"/>
      <c r="AW114" s="122"/>
      <c r="AX114" s="122"/>
      <c r="AY114" s="122"/>
      <c r="AZ114" s="122"/>
    </row>
    <row r="115" spans="1:52" s="145" customFormat="1" ht="31.5" x14ac:dyDescent="0.2">
      <c r="A115" s="140" t="s">
        <v>163</v>
      </c>
      <c r="B115" s="38">
        <v>6082</v>
      </c>
      <c r="C115" s="140" t="s">
        <v>32</v>
      </c>
      <c r="D115" s="49" t="s">
        <v>164</v>
      </c>
      <c r="E115" s="16" t="s">
        <v>264</v>
      </c>
      <c r="F115" s="31">
        <v>2021</v>
      </c>
      <c r="G115" s="87">
        <v>4895627</v>
      </c>
      <c r="H115" s="144">
        <v>0</v>
      </c>
      <c r="I115" s="87">
        <v>3468900</v>
      </c>
      <c r="J115" s="31"/>
      <c r="K115" s="59">
        <v>2115</v>
      </c>
      <c r="L115" s="107"/>
      <c r="M115" s="107">
        <f>I115-L115</f>
        <v>3468900</v>
      </c>
      <c r="N115" s="185">
        <f>G115-I115</f>
        <v>1426727</v>
      </c>
    </row>
    <row r="116" spans="1:52" s="145" customFormat="1" ht="47.25" x14ac:dyDescent="0.2">
      <c r="A116" s="298" t="s">
        <v>56</v>
      </c>
      <c r="B116" s="299">
        <v>7363</v>
      </c>
      <c r="C116" s="249" t="s">
        <v>5</v>
      </c>
      <c r="D116" s="252" t="s">
        <v>57</v>
      </c>
      <c r="E116" s="16" t="s">
        <v>58</v>
      </c>
      <c r="F116" s="31">
        <v>2021</v>
      </c>
      <c r="G116" s="87">
        <v>5261884</v>
      </c>
      <c r="H116" s="144">
        <v>0</v>
      </c>
      <c r="I116" s="87">
        <v>3035438</v>
      </c>
      <c r="J116" s="31"/>
      <c r="K116" s="59">
        <v>2042</v>
      </c>
      <c r="L116" s="107">
        <f>36575.65+2748583.96</f>
        <v>2785159.61</v>
      </c>
      <c r="M116" s="107">
        <f>I116-L116</f>
        <v>250278.39000000013</v>
      </c>
    </row>
    <row r="117" spans="1:52" s="145" customFormat="1" ht="31.5" x14ac:dyDescent="0.2">
      <c r="A117" s="298"/>
      <c r="B117" s="299"/>
      <c r="C117" s="249"/>
      <c r="D117" s="252"/>
      <c r="E117" s="16" t="s">
        <v>270</v>
      </c>
      <c r="F117" s="31" t="s">
        <v>184</v>
      </c>
      <c r="G117" s="87">
        <v>25000000</v>
      </c>
      <c r="H117" s="144">
        <v>0</v>
      </c>
      <c r="I117" s="87">
        <v>3000000</v>
      </c>
      <c r="J117" s="31"/>
      <c r="K117" s="59">
        <v>2158</v>
      </c>
      <c r="L117" s="107">
        <v>0</v>
      </c>
      <c r="M117" s="107">
        <f>I117-L117</f>
        <v>3000000</v>
      </c>
    </row>
    <row r="118" spans="1:52" s="151" customFormat="1" ht="47.25" customHeight="1" x14ac:dyDescent="0.2">
      <c r="A118" s="269"/>
      <c r="B118" s="270"/>
      <c r="C118" s="271"/>
      <c r="D118" s="47" t="s">
        <v>302</v>
      </c>
      <c r="E118" s="149"/>
      <c r="F118" s="44" t="s">
        <v>7</v>
      </c>
      <c r="G118" s="83" t="s">
        <v>7</v>
      </c>
      <c r="H118" s="83" t="s">
        <v>7</v>
      </c>
      <c r="I118" s="83">
        <f>SUM(I119:I123)</f>
        <v>5195868</v>
      </c>
      <c r="J118" s="44" t="s">
        <v>7</v>
      </c>
      <c r="K118" s="178"/>
      <c r="L118" s="179"/>
      <c r="M118" s="180"/>
    </row>
    <row r="119" spans="1:52" s="145" customFormat="1" ht="47.25" x14ac:dyDescent="0.2">
      <c r="A119" s="233" t="s">
        <v>28</v>
      </c>
      <c r="B119" s="228">
        <v>7322</v>
      </c>
      <c r="C119" s="233" t="s">
        <v>205</v>
      </c>
      <c r="D119" s="257" t="s">
        <v>64</v>
      </c>
      <c r="E119" s="105" t="s">
        <v>48</v>
      </c>
      <c r="F119" s="31">
        <v>2021</v>
      </c>
      <c r="G119" s="87">
        <f>I119</f>
        <v>300000</v>
      </c>
      <c r="H119" s="144">
        <v>0</v>
      </c>
      <c r="I119" s="87">
        <v>300000</v>
      </c>
      <c r="J119" s="31"/>
      <c r="K119" s="102">
        <v>2029</v>
      </c>
      <c r="L119" s="109">
        <v>297772.79999999999</v>
      </c>
      <c r="M119" s="109">
        <f>I119-L119</f>
        <v>2227.2000000000116</v>
      </c>
    </row>
    <row r="120" spans="1:52" s="145" customFormat="1" ht="47.25" x14ac:dyDescent="0.2">
      <c r="A120" s="247"/>
      <c r="B120" s="248"/>
      <c r="C120" s="247"/>
      <c r="D120" s="258"/>
      <c r="E120" s="105" t="s">
        <v>266</v>
      </c>
      <c r="F120" s="31">
        <v>2021</v>
      </c>
      <c r="G120" s="87">
        <f>I120</f>
        <v>300000</v>
      </c>
      <c r="H120" s="144">
        <v>0</v>
      </c>
      <c r="I120" s="87">
        <v>300000</v>
      </c>
      <c r="J120" s="31"/>
      <c r="K120" s="59">
        <v>2030</v>
      </c>
      <c r="L120" s="107">
        <v>0</v>
      </c>
      <c r="M120" s="107">
        <f>I120-L120</f>
        <v>300000</v>
      </c>
    </row>
    <row r="121" spans="1:52" s="145" customFormat="1" ht="31.5" x14ac:dyDescent="0.2">
      <c r="A121" s="247"/>
      <c r="B121" s="248"/>
      <c r="C121" s="247"/>
      <c r="D121" s="258"/>
      <c r="E121" s="105" t="s">
        <v>210</v>
      </c>
      <c r="F121" s="31">
        <v>2021</v>
      </c>
      <c r="G121" s="87">
        <f>72852+I56</f>
        <v>3696403</v>
      </c>
      <c r="H121" s="144">
        <v>0</v>
      </c>
      <c r="I121" s="87">
        <v>72852</v>
      </c>
      <c r="J121" s="31"/>
      <c r="K121" s="59">
        <v>2118</v>
      </c>
      <c r="L121" s="107">
        <v>0</v>
      </c>
      <c r="M121" s="107">
        <f>I121-L121</f>
        <v>72852</v>
      </c>
    </row>
    <row r="122" spans="1:52" s="145" customFormat="1" ht="31.5" x14ac:dyDescent="0.2">
      <c r="A122" s="234"/>
      <c r="B122" s="229"/>
      <c r="C122" s="234"/>
      <c r="D122" s="259"/>
      <c r="E122" s="105" t="s">
        <v>281</v>
      </c>
      <c r="F122" s="31">
        <v>2021</v>
      </c>
      <c r="G122" s="87">
        <v>4478016</v>
      </c>
      <c r="H122" s="144">
        <v>0</v>
      </c>
      <c r="I122" s="87">
        <v>4478016</v>
      </c>
      <c r="J122" s="31"/>
      <c r="K122" s="59">
        <v>2169</v>
      </c>
      <c r="L122" s="63">
        <f>49959+856370.23</f>
        <v>906329.23</v>
      </c>
      <c r="M122" s="107">
        <f>I122-L122</f>
        <v>3571686.77</v>
      </c>
    </row>
    <row r="123" spans="1:52" s="145" customFormat="1" ht="47.25" x14ac:dyDescent="0.2">
      <c r="A123" s="140" t="s">
        <v>79</v>
      </c>
      <c r="B123" s="38">
        <v>2111</v>
      </c>
      <c r="C123" s="140" t="s">
        <v>81</v>
      </c>
      <c r="D123" s="139" t="s">
        <v>80</v>
      </c>
      <c r="E123" s="105" t="s">
        <v>10</v>
      </c>
      <c r="F123" s="31">
        <v>2021</v>
      </c>
      <c r="G123" s="87">
        <v>0</v>
      </c>
      <c r="H123" s="144">
        <v>0</v>
      </c>
      <c r="I123" s="87">
        <v>45000</v>
      </c>
      <c r="J123" s="31"/>
      <c r="K123" s="59">
        <v>2050</v>
      </c>
      <c r="L123" s="107">
        <v>30550</v>
      </c>
      <c r="M123" s="107">
        <f>I123-L123</f>
        <v>14450</v>
      </c>
      <c r="N123" s="145" t="s">
        <v>217</v>
      </c>
    </row>
    <row r="124" spans="1:52" s="151" customFormat="1" ht="46.5" customHeight="1" x14ac:dyDescent="0.2">
      <c r="A124" s="269"/>
      <c r="B124" s="270"/>
      <c r="C124" s="271"/>
      <c r="D124" s="47" t="s">
        <v>303</v>
      </c>
      <c r="E124" s="149"/>
      <c r="F124" s="44" t="s">
        <v>7</v>
      </c>
      <c r="G124" s="83" t="s">
        <v>7</v>
      </c>
      <c r="H124" s="83" t="s">
        <v>7</v>
      </c>
      <c r="I124" s="83">
        <f>SUM(I125)</f>
        <v>4347174</v>
      </c>
      <c r="J124" s="44" t="s">
        <v>7</v>
      </c>
      <c r="K124" s="178"/>
      <c r="L124" s="179"/>
      <c r="M124" s="180"/>
    </row>
    <row r="125" spans="1:52" s="145" customFormat="1" ht="31.5" x14ac:dyDescent="0.25">
      <c r="A125" s="208" t="s">
        <v>49</v>
      </c>
      <c r="B125" s="209">
        <v>2080</v>
      </c>
      <c r="C125" s="208" t="s">
        <v>50</v>
      </c>
      <c r="D125" s="148" t="s">
        <v>51</v>
      </c>
      <c r="E125" s="105" t="s">
        <v>10</v>
      </c>
      <c r="F125" s="210">
        <v>2021</v>
      </c>
      <c r="G125" s="87">
        <v>0</v>
      </c>
      <c r="H125" s="144">
        <v>0</v>
      </c>
      <c r="I125" s="87">
        <f>1750000-82826+200000+2480000</f>
        <v>4347174</v>
      </c>
      <c r="J125" s="210"/>
      <c r="K125" s="59">
        <v>2037</v>
      </c>
      <c r="L125" s="107">
        <f>1650000+199900+2470000</f>
        <v>4319900</v>
      </c>
      <c r="M125" s="107">
        <f>I125-L125</f>
        <v>27274</v>
      </c>
      <c r="N125" s="145" t="s">
        <v>232</v>
      </c>
    </row>
    <row r="126" spans="1:52" s="152" customFormat="1" ht="18.75" x14ac:dyDescent="0.2">
      <c r="A126" s="269"/>
      <c r="B126" s="270"/>
      <c r="C126" s="271"/>
      <c r="D126" s="40" t="s">
        <v>98</v>
      </c>
      <c r="E126" s="149"/>
      <c r="F126" s="44" t="s">
        <v>7</v>
      </c>
      <c r="G126" s="83" t="s">
        <v>7</v>
      </c>
      <c r="H126" s="83" t="s">
        <v>7</v>
      </c>
      <c r="I126" s="83">
        <f>SUM(I127:I179)</f>
        <v>51248757.710000001</v>
      </c>
      <c r="J126" s="44" t="s">
        <v>7</v>
      </c>
      <c r="K126" s="161"/>
      <c r="L126" s="162"/>
      <c r="M126" s="163"/>
      <c r="N126" s="151"/>
      <c r="O126" s="151"/>
      <c r="P126" s="151"/>
      <c r="Q126" s="151"/>
      <c r="R126" s="151"/>
      <c r="S126" s="151"/>
      <c r="T126" s="151"/>
      <c r="U126" s="151"/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</row>
    <row r="127" spans="1:52" s="145" customFormat="1" ht="33" customHeight="1" x14ac:dyDescent="0.2">
      <c r="A127" s="233" t="s">
        <v>31</v>
      </c>
      <c r="B127" s="228">
        <v>6011</v>
      </c>
      <c r="C127" s="233" t="s">
        <v>32</v>
      </c>
      <c r="D127" s="228" t="s">
        <v>33</v>
      </c>
      <c r="E127" s="105" t="s">
        <v>34</v>
      </c>
      <c r="F127" s="31">
        <v>2021</v>
      </c>
      <c r="G127" s="87">
        <f>I127</f>
        <v>1484700</v>
      </c>
      <c r="H127" s="144">
        <v>0</v>
      </c>
      <c r="I127" s="87">
        <v>1484700</v>
      </c>
      <c r="J127" s="31"/>
      <c r="K127" s="59">
        <v>2031</v>
      </c>
      <c r="L127" s="107">
        <v>1087870.1599999999</v>
      </c>
      <c r="M127" s="107">
        <f>I127-L127</f>
        <v>396829.84000000008</v>
      </c>
      <c r="N127" s="186">
        <v>1087870.1599999999</v>
      </c>
    </row>
    <row r="128" spans="1:52" s="145" customFormat="1" ht="31.5" x14ac:dyDescent="0.2">
      <c r="A128" s="234"/>
      <c r="B128" s="229"/>
      <c r="C128" s="234"/>
      <c r="D128" s="229"/>
      <c r="E128" s="105" t="s">
        <v>35</v>
      </c>
      <c r="F128" s="31">
        <v>2021</v>
      </c>
      <c r="G128" s="87">
        <f t="shared" ref="G128:G134" si="10">I128</f>
        <v>1478200</v>
      </c>
      <c r="H128" s="144">
        <v>0</v>
      </c>
      <c r="I128" s="87">
        <v>1478200</v>
      </c>
      <c r="J128" s="31"/>
      <c r="K128" s="59">
        <v>2032</v>
      </c>
      <c r="L128" s="107">
        <v>736760.86</v>
      </c>
      <c r="M128" s="107">
        <f>I128-L128</f>
        <v>741439.14</v>
      </c>
      <c r="N128" s="186">
        <v>736760.86</v>
      </c>
    </row>
    <row r="129" spans="1:14" s="145" customFormat="1" ht="31.5" x14ac:dyDescent="0.2">
      <c r="A129" s="215" t="s">
        <v>31</v>
      </c>
      <c r="B129" s="216">
        <v>6017</v>
      </c>
      <c r="C129" s="215" t="s">
        <v>18</v>
      </c>
      <c r="D129" s="216" t="s">
        <v>332</v>
      </c>
      <c r="E129" s="105" t="s">
        <v>333</v>
      </c>
      <c r="F129" s="218">
        <v>2021</v>
      </c>
      <c r="G129" s="87">
        <v>1403390</v>
      </c>
      <c r="H129" s="144">
        <v>0</v>
      </c>
      <c r="I129" s="87">
        <f>G129</f>
        <v>1403390</v>
      </c>
      <c r="J129" s="218"/>
      <c r="K129" s="59">
        <v>2197</v>
      </c>
      <c r="L129" s="107"/>
      <c r="M129" s="107"/>
      <c r="N129" s="221"/>
    </row>
    <row r="130" spans="1:14" s="145" customFormat="1" ht="47.25" x14ac:dyDescent="0.2">
      <c r="A130" s="138" t="s">
        <v>253</v>
      </c>
      <c r="B130" s="141">
        <v>6013</v>
      </c>
      <c r="C130" s="138" t="s">
        <v>18</v>
      </c>
      <c r="D130" s="141" t="s">
        <v>252</v>
      </c>
      <c r="E130" s="105" t="s">
        <v>259</v>
      </c>
      <c r="F130" s="31">
        <v>2021</v>
      </c>
      <c r="G130" s="87">
        <v>49336</v>
      </c>
      <c r="H130" s="144">
        <v>0</v>
      </c>
      <c r="I130" s="87">
        <v>49336</v>
      </c>
      <c r="J130" s="31"/>
      <c r="K130" s="59">
        <v>2140</v>
      </c>
      <c r="L130" s="107"/>
      <c r="M130" s="107">
        <f t="shared" ref="M130:M175" si="11">I130-L130</f>
        <v>49336</v>
      </c>
    </row>
    <row r="131" spans="1:14" s="145" customFormat="1" ht="31.5" x14ac:dyDescent="0.25">
      <c r="A131" s="233" t="s">
        <v>11</v>
      </c>
      <c r="B131" s="228">
        <v>6030</v>
      </c>
      <c r="C131" s="233" t="s">
        <v>18</v>
      </c>
      <c r="D131" s="254" t="s">
        <v>19</v>
      </c>
      <c r="E131" s="34" t="s">
        <v>125</v>
      </c>
      <c r="F131" s="31">
        <v>2021</v>
      </c>
      <c r="G131" s="87">
        <f t="shared" si="10"/>
        <v>588027</v>
      </c>
      <c r="H131" s="144">
        <v>0</v>
      </c>
      <c r="I131" s="87">
        <v>588027</v>
      </c>
      <c r="J131" s="31"/>
      <c r="K131" s="59">
        <v>2061</v>
      </c>
      <c r="L131" s="107">
        <f>505400+7497.31</f>
        <v>512897.31</v>
      </c>
      <c r="M131" s="107">
        <f t="shared" si="11"/>
        <v>75129.69</v>
      </c>
    </row>
    <row r="132" spans="1:14" s="145" customFormat="1" ht="31.5" x14ac:dyDescent="0.25">
      <c r="A132" s="247"/>
      <c r="B132" s="248"/>
      <c r="C132" s="247"/>
      <c r="D132" s="255"/>
      <c r="E132" s="34" t="s">
        <v>126</v>
      </c>
      <c r="F132" s="31">
        <v>2021</v>
      </c>
      <c r="G132" s="87">
        <f t="shared" si="10"/>
        <v>413680</v>
      </c>
      <c r="H132" s="144">
        <v>0</v>
      </c>
      <c r="I132" s="87">
        <v>413680</v>
      </c>
      <c r="J132" s="31"/>
      <c r="K132" s="59">
        <v>2062</v>
      </c>
      <c r="L132" s="107">
        <v>329712.82</v>
      </c>
      <c r="M132" s="107">
        <f t="shared" si="11"/>
        <v>83967.18</v>
      </c>
    </row>
    <row r="133" spans="1:14" s="145" customFormat="1" ht="31.5" x14ac:dyDescent="0.25">
      <c r="A133" s="247"/>
      <c r="B133" s="248"/>
      <c r="C133" s="247"/>
      <c r="D133" s="255"/>
      <c r="E133" s="34" t="s">
        <v>127</v>
      </c>
      <c r="F133" s="31">
        <v>2021</v>
      </c>
      <c r="G133" s="87">
        <f t="shared" si="10"/>
        <v>610349</v>
      </c>
      <c r="H133" s="144">
        <v>0</v>
      </c>
      <c r="I133" s="87">
        <v>610349</v>
      </c>
      <c r="J133" s="31"/>
      <c r="K133" s="59">
        <v>2063</v>
      </c>
      <c r="L133" s="107">
        <f>560848.84+8308.45</f>
        <v>569157.28999999992</v>
      </c>
      <c r="M133" s="107">
        <f t="shared" si="11"/>
        <v>41191.710000000079</v>
      </c>
    </row>
    <row r="134" spans="1:14" s="145" customFormat="1" ht="31.5" x14ac:dyDescent="0.25">
      <c r="A134" s="247"/>
      <c r="B134" s="248"/>
      <c r="C134" s="247"/>
      <c r="D134" s="255"/>
      <c r="E134" s="34" t="s">
        <v>128</v>
      </c>
      <c r="F134" s="31">
        <v>2021</v>
      </c>
      <c r="G134" s="87">
        <f t="shared" si="10"/>
        <v>725932</v>
      </c>
      <c r="H134" s="144">
        <v>0</v>
      </c>
      <c r="I134" s="87">
        <v>725932</v>
      </c>
      <c r="J134" s="31"/>
      <c r="K134" s="59">
        <v>2064</v>
      </c>
      <c r="L134" s="107">
        <f>529700+7832.07</f>
        <v>537532.06999999995</v>
      </c>
      <c r="M134" s="107">
        <f t="shared" si="11"/>
        <v>188399.93000000005</v>
      </c>
    </row>
    <row r="135" spans="1:14" s="145" customFormat="1" ht="31.5" x14ac:dyDescent="0.25">
      <c r="A135" s="247"/>
      <c r="B135" s="248"/>
      <c r="C135" s="247"/>
      <c r="D135" s="255"/>
      <c r="E135" s="34" t="s">
        <v>129</v>
      </c>
      <c r="F135" s="31">
        <v>2021</v>
      </c>
      <c r="G135" s="87">
        <f t="shared" ref="G135:G137" si="12">I135</f>
        <v>40775</v>
      </c>
      <c r="H135" s="144">
        <v>0</v>
      </c>
      <c r="I135" s="87">
        <v>40775</v>
      </c>
      <c r="J135" s="31"/>
      <c r="K135" s="59">
        <v>2065</v>
      </c>
      <c r="L135" s="107">
        <v>40775</v>
      </c>
      <c r="M135" s="107">
        <f t="shared" si="11"/>
        <v>0</v>
      </c>
    </row>
    <row r="136" spans="1:14" s="145" customFormat="1" ht="31.5" x14ac:dyDescent="0.25">
      <c r="A136" s="247"/>
      <c r="B136" s="248"/>
      <c r="C136" s="247"/>
      <c r="D136" s="255"/>
      <c r="E136" s="34" t="s">
        <v>130</v>
      </c>
      <c r="F136" s="31">
        <v>2021</v>
      </c>
      <c r="G136" s="87">
        <f t="shared" si="12"/>
        <v>36293</v>
      </c>
      <c r="H136" s="144">
        <v>0</v>
      </c>
      <c r="I136" s="87">
        <v>36293</v>
      </c>
      <c r="J136" s="31"/>
      <c r="K136" s="59">
        <v>2066</v>
      </c>
      <c r="L136" s="107">
        <v>36293</v>
      </c>
      <c r="M136" s="107">
        <f t="shared" si="11"/>
        <v>0</v>
      </c>
    </row>
    <row r="137" spans="1:14" s="145" customFormat="1" ht="31.5" x14ac:dyDescent="0.25">
      <c r="A137" s="247"/>
      <c r="B137" s="248"/>
      <c r="C137" s="247"/>
      <c r="D137" s="255"/>
      <c r="E137" s="34" t="s">
        <v>131</v>
      </c>
      <c r="F137" s="31">
        <v>2021</v>
      </c>
      <c r="G137" s="87">
        <f t="shared" si="12"/>
        <v>29662</v>
      </c>
      <c r="H137" s="144">
        <v>0</v>
      </c>
      <c r="I137" s="87">
        <v>29662</v>
      </c>
      <c r="J137" s="31"/>
      <c r="K137" s="59">
        <v>2067</v>
      </c>
      <c r="L137" s="107">
        <v>29662</v>
      </c>
      <c r="M137" s="107">
        <f t="shared" si="11"/>
        <v>0</v>
      </c>
    </row>
    <row r="138" spans="1:14" s="145" customFormat="1" ht="31.5" x14ac:dyDescent="0.25">
      <c r="A138" s="247"/>
      <c r="B138" s="248"/>
      <c r="C138" s="247"/>
      <c r="D138" s="255"/>
      <c r="E138" s="34" t="s">
        <v>132</v>
      </c>
      <c r="F138" s="31">
        <v>2021</v>
      </c>
      <c r="G138" s="87">
        <f>I138</f>
        <v>34897</v>
      </c>
      <c r="H138" s="144">
        <v>0</v>
      </c>
      <c r="I138" s="87">
        <v>34897</v>
      </c>
      <c r="J138" s="31"/>
      <c r="K138" s="59">
        <v>2068</v>
      </c>
      <c r="L138" s="107">
        <v>34897</v>
      </c>
      <c r="M138" s="107">
        <f t="shared" si="11"/>
        <v>0</v>
      </c>
    </row>
    <row r="139" spans="1:14" s="145" customFormat="1" ht="31.5" x14ac:dyDescent="0.25">
      <c r="A139" s="247"/>
      <c r="B139" s="248"/>
      <c r="C139" s="247"/>
      <c r="D139" s="255"/>
      <c r="E139" s="34" t="s">
        <v>139</v>
      </c>
      <c r="F139" s="31">
        <v>2021</v>
      </c>
      <c r="G139" s="87">
        <v>0</v>
      </c>
      <c r="H139" s="144">
        <v>0</v>
      </c>
      <c r="I139" s="87">
        <v>381000</v>
      </c>
      <c r="J139" s="31"/>
      <c r="K139" s="59">
        <v>2070</v>
      </c>
      <c r="L139" s="107">
        <v>380400</v>
      </c>
      <c r="M139" s="107">
        <f t="shared" si="11"/>
        <v>600</v>
      </c>
    </row>
    <row r="140" spans="1:14" s="145" customFormat="1" ht="31.5" x14ac:dyDescent="0.25">
      <c r="A140" s="247"/>
      <c r="B140" s="248"/>
      <c r="C140" s="247"/>
      <c r="D140" s="255"/>
      <c r="E140" s="34" t="s">
        <v>104</v>
      </c>
      <c r="F140" s="31">
        <v>2021</v>
      </c>
      <c r="G140" s="87">
        <f t="shared" ref="G140:G142" si="13">I140</f>
        <v>38835</v>
      </c>
      <c r="H140" s="144">
        <v>0</v>
      </c>
      <c r="I140" s="87">
        <v>38835</v>
      </c>
      <c r="J140" s="31"/>
      <c r="K140" s="59">
        <v>2071</v>
      </c>
      <c r="L140" s="107">
        <v>38835</v>
      </c>
      <c r="M140" s="107">
        <f t="shared" si="11"/>
        <v>0</v>
      </c>
    </row>
    <row r="141" spans="1:14" s="145" customFormat="1" ht="31.5" x14ac:dyDescent="0.25">
      <c r="A141" s="247"/>
      <c r="B141" s="248"/>
      <c r="C141" s="247"/>
      <c r="D141" s="255"/>
      <c r="E141" s="34" t="s">
        <v>114</v>
      </c>
      <c r="F141" s="31">
        <v>2021</v>
      </c>
      <c r="G141" s="87">
        <f t="shared" si="13"/>
        <v>49005</v>
      </c>
      <c r="H141" s="144">
        <v>0</v>
      </c>
      <c r="I141" s="87">
        <v>49005</v>
      </c>
      <c r="J141" s="31"/>
      <c r="K141" s="59">
        <v>2072</v>
      </c>
      <c r="L141" s="107">
        <v>49005</v>
      </c>
      <c r="M141" s="107">
        <f t="shared" si="11"/>
        <v>0</v>
      </c>
    </row>
    <row r="142" spans="1:14" s="145" customFormat="1" ht="31.5" x14ac:dyDescent="0.25">
      <c r="A142" s="247"/>
      <c r="B142" s="248"/>
      <c r="C142" s="247"/>
      <c r="D142" s="255"/>
      <c r="E142" s="34" t="s">
        <v>105</v>
      </c>
      <c r="F142" s="31">
        <v>2021</v>
      </c>
      <c r="G142" s="87">
        <f t="shared" si="13"/>
        <v>40977</v>
      </c>
      <c r="H142" s="144">
        <v>0</v>
      </c>
      <c r="I142" s="87">
        <v>40977</v>
      </c>
      <c r="J142" s="31"/>
      <c r="K142" s="59">
        <v>2073</v>
      </c>
      <c r="L142" s="107">
        <v>40977</v>
      </c>
      <c r="M142" s="107">
        <f t="shared" si="11"/>
        <v>0</v>
      </c>
    </row>
    <row r="143" spans="1:14" s="145" customFormat="1" ht="31.5" x14ac:dyDescent="0.25">
      <c r="A143" s="247"/>
      <c r="B143" s="248"/>
      <c r="C143" s="247"/>
      <c r="D143" s="255"/>
      <c r="E143" s="34" t="s">
        <v>106</v>
      </c>
      <c r="F143" s="31">
        <v>2021</v>
      </c>
      <c r="G143" s="87">
        <f>I143</f>
        <v>40356</v>
      </c>
      <c r="H143" s="144">
        <v>0</v>
      </c>
      <c r="I143" s="87">
        <v>40356</v>
      </c>
      <c r="J143" s="31"/>
      <c r="K143" s="59">
        <v>2074</v>
      </c>
      <c r="L143" s="107">
        <v>40356</v>
      </c>
      <c r="M143" s="107">
        <f t="shared" si="11"/>
        <v>0</v>
      </c>
    </row>
    <row r="144" spans="1:14" s="175" customFormat="1" ht="18.75" customHeight="1" x14ac:dyDescent="0.25">
      <c r="A144" s="247"/>
      <c r="B144" s="248"/>
      <c r="C144" s="247"/>
      <c r="D144" s="255"/>
      <c r="E144" s="34" t="s">
        <v>152</v>
      </c>
      <c r="F144" s="31">
        <v>2021</v>
      </c>
      <c r="G144" s="87">
        <f>I144</f>
        <v>499860</v>
      </c>
      <c r="H144" s="144">
        <v>0</v>
      </c>
      <c r="I144" s="87">
        <v>499860</v>
      </c>
      <c r="J144" s="31"/>
      <c r="K144" s="181">
        <v>2100</v>
      </c>
      <c r="L144" s="182">
        <f>415000+6072.42</f>
        <v>421072.42</v>
      </c>
      <c r="M144" s="182">
        <f t="shared" si="11"/>
        <v>78787.580000000016</v>
      </c>
    </row>
    <row r="145" spans="1:13" s="175" customFormat="1" ht="31.5" x14ac:dyDescent="0.25">
      <c r="A145" s="247"/>
      <c r="B145" s="248"/>
      <c r="C145" s="247"/>
      <c r="D145" s="255"/>
      <c r="E145" s="34" t="s">
        <v>153</v>
      </c>
      <c r="F145" s="31">
        <v>2021</v>
      </c>
      <c r="G145" s="87">
        <f>I145</f>
        <v>3025397</v>
      </c>
      <c r="H145" s="144">
        <v>0</v>
      </c>
      <c r="I145" s="87">
        <v>3025397</v>
      </c>
      <c r="J145" s="31"/>
      <c r="K145" s="181">
        <v>2101</v>
      </c>
      <c r="L145" s="182">
        <f>2154795.24+8400+456761.41</f>
        <v>2619956.6500000004</v>
      </c>
      <c r="M145" s="182">
        <f t="shared" si="11"/>
        <v>405440.34999999963</v>
      </c>
    </row>
    <row r="146" spans="1:13" s="175" customFormat="1" ht="31.5" x14ac:dyDescent="0.25">
      <c r="A146" s="247"/>
      <c r="B146" s="248"/>
      <c r="C146" s="247"/>
      <c r="D146" s="255"/>
      <c r="E146" s="34" t="s">
        <v>156</v>
      </c>
      <c r="F146" s="31">
        <v>2021</v>
      </c>
      <c r="G146" s="87">
        <f>115243</f>
        <v>115243</v>
      </c>
      <c r="H146" s="144">
        <v>0</v>
      </c>
      <c r="I146" s="87">
        <v>115243</v>
      </c>
      <c r="J146" s="31"/>
      <c r="K146" s="181">
        <v>2114</v>
      </c>
      <c r="L146" s="182">
        <f>111916.01+1644.68</f>
        <v>113560.68999999999</v>
      </c>
      <c r="M146" s="182">
        <f t="shared" si="11"/>
        <v>1682.3100000000122</v>
      </c>
    </row>
    <row r="147" spans="1:13" s="145" customFormat="1" ht="18.75" x14ac:dyDescent="0.25">
      <c r="A147" s="247"/>
      <c r="B147" s="248"/>
      <c r="C147" s="247"/>
      <c r="D147" s="255"/>
      <c r="E147" s="34" t="s">
        <v>251</v>
      </c>
      <c r="F147" s="31">
        <v>2021</v>
      </c>
      <c r="G147" s="87">
        <v>1272809</v>
      </c>
      <c r="H147" s="144">
        <v>0</v>
      </c>
      <c r="I147" s="87">
        <v>1272809</v>
      </c>
      <c r="J147" s="31"/>
      <c r="K147" s="59">
        <v>2143</v>
      </c>
      <c r="L147" s="107">
        <f>1257160.66</f>
        <v>1257160.6599999999</v>
      </c>
      <c r="M147" s="107">
        <f t="shared" si="11"/>
        <v>15648.340000000084</v>
      </c>
    </row>
    <row r="148" spans="1:13" s="145" customFormat="1" ht="18.75" x14ac:dyDescent="0.25">
      <c r="A148" s="247"/>
      <c r="B148" s="248"/>
      <c r="C148" s="247"/>
      <c r="D148" s="255"/>
      <c r="E148" s="34" t="s">
        <v>261</v>
      </c>
      <c r="F148" s="31">
        <v>2021</v>
      </c>
      <c r="G148" s="87">
        <v>767239</v>
      </c>
      <c r="H148" s="144">
        <v>0</v>
      </c>
      <c r="I148" s="87">
        <v>767239</v>
      </c>
      <c r="J148" s="31"/>
      <c r="K148" s="59">
        <v>2152</v>
      </c>
      <c r="L148" s="63">
        <v>726208.82</v>
      </c>
      <c r="M148" s="107">
        <f t="shared" si="11"/>
        <v>41030.180000000051</v>
      </c>
    </row>
    <row r="149" spans="1:13" s="145" customFormat="1" ht="18.75" x14ac:dyDescent="0.25">
      <c r="A149" s="247"/>
      <c r="B149" s="248"/>
      <c r="C149" s="247"/>
      <c r="D149" s="255"/>
      <c r="E149" s="34" t="s">
        <v>277</v>
      </c>
      <c r="F149" s="31">
        <v>2021</v>
      </c>
      <c r="G149" s="87">
        <v>995000</v>
      </c>
      <c r="H149" s="144">
        <v>0</v>
      </c>
      <c r="I149" s="87">
        <f>G149</f>
        <v>995000</v>
      </c>
      <c r="J149" s="31"/>
      <c r="K149" s="59">
        <v>2165</v>
      </c>
      <c r="L149" s="107">
        <f>987431.32+30</f>
        <v>987461.32</v>
      </c>
      <c r="M149" s="107">
        <f t="shared" si="11"/>
        <v>7538.6800000000512</v>
      </c>
    </row>
    <row r="150" spans="1:13" s="145" customFormat="1" ht="31.5" x14ac:dyDescent="0.25">
      <c r="A150" s="247"/>
      <c r="B150" s="248"/>
      <c r="C150" s="247"/>
      <c r="D150" s="255"/>
      <c r="E150" s="34" t="s">
        <v>278</v>
      </c>
      <c r="F150" s="31">
        <v>2021</v>
      </c>
      <c r="G150" s="87">
        <v>38981</v>
      </c>
      <c r="H150" s="144">
        <v>0</v>
      </c>
      <c r="I150" s="87">
        <f t="shared" ref="I150:I152" si="14">G150</f>
        <v>38981</v>
      </c>
      <c r="J150" s="31"/>
      <c r="K150" s="59">
        <v>2166</v>
      </c>
      <c r="L150" s="107">
        <v>38981</v>
      </c>
      <c r="M150" s="107">
        <f t="shared" si="11"/>
        <v>0</v>
      </c>
    </row>
    <row r="151" spans="1:13" s="145" customFormat="1" ht="31.5" x14ac:dyDescent="0.25">
      <c r="A151" s="247"/>
      <c r="B151" s="248"/>
      <c r="C151" s="247"/>
      <c r="D151" s="255"/>
      <c r="E151" s="34" t="s">
        <v>279</v>
      </c>
      <c r="F151" s="31">
        <v>2021</v>
      </c>
      <c r="G151" s="87">
        <v>40198</v>
      </c>
      <c r="H151" s="144">
        <v>0</v>
      </c>
      <c r="I151" s="87">
        <f t="shared" si="14"/>
        <v>40198</v>
      </c>
      <c r="J151" s="31"/>
      <c r="K151" s="59">
        <v>2167</v>
      </c>
      <c r="L151" s="107">
        <v>40198</v>
      </c>
      <c r="M151" s="107">
        <f t="shared" si="11"/>
        <v>0</v>
      </c>
    </row>
    <row r="152" spans="1:13" s="145" customFormat="1" ht="31.5" x14ac:dyDescent="0.25">
      <c r="A152" s="234"/>
      <c r="B152" s="229"/>
      <c r="C152" s="234"/>
      <c r="D152" s="256"/>
      <c r="E152" s="34" t="s">
        <v>280</v>
      </c>
      <c r="F152" s="31">
        <v>2021</v>
      </c>
      <c r="G152" s="87">
        <v>42532</v>
      </c>
      <c r="H152" s="144">
        <v>0</v>
      </c>
      <c r="I152" s="87">
        <f t="shared" si="14"/>
        <v>42532</v>
      </c>
      <c r="J152" s="31"/>
      <c r="K152" s="59">
        <v>2168</v>
      </c>
      <c r="L152" s="107">
        <v>42532</v>
      </c>
      <c r="M152" s="107">
        <f t="shared" si="11"/>
        <v>0</v>
      </c>
    </row>
    <row r="153" spans="1:13" s="145" customFormat="1" ht="31.5" x14ac:dyDescent="0.25">
      <c r="A153" s="233" t="s">
        <v>59</v>
      </c>
      <c r="B153" s="228">
        <v>6040</v>
      </c>
      <c r="C153" s="233" t="s">
        <v>61</v>
      </c>
      <c r="D153" s="228" t="s">
        <v>60</v>
      </c>
      <c r="E153" s="34" t="s">
        <v>107</v>
      </c>
      <c r="F153" s="31">
        <v>2021</v>
      </c>
      <c r="G153" s="87">
        <f>I153</f>
        <v>49965</v>
      </c>
      <c r="H153" s="144">
        <v>0</v>
      </c>
      <c r="I153" s="87">
        <v>49965</v>
      </c>
      <c r="J153" s="31"/>
      <c r="K153" s="59">
        <v>2075</v>
      </c>
      <c r="L153" s="107">
        <v>49965</v>
      </c>
      <c r="M153" s="107">
        <f t="shared" si="11"/>
        <v>0</v>
      </c>
    </row>
    <row r="154" spans="1:13" s="145" customFormat="1" ht="31.5" x14ac:dyDescent="0.2">
      <c r="A154" s="234"/>
      <c r="B154" s="229"/>
      <c r="C154" s="234"/>
      <c r="D154" s="229"/>
      <c r="E154" s="16" t="s">
        <v>103</v>
      </c>
      <c r="F154" s="31">
        <v>2021</v>
      </c>
      <c r="G154" s="87">
        <f>I154</f>
        <v>3744531</v>
      </c>
      <c r="H154" s="144">
        <v>0</v>
      </c>
      <c r="I154" s="87">
        <v>3744531</v>
      </c>
      <c r="J154" s="31"/>
      <c r="K154" s="59">
        <v>2076</v>
      </c>
      <c r="L154" s="107">
        <v>2721913.3</v>
      </c>
      <c r="M154" s="107">
        <f t="shared" si="11"/>
        <v>1022617.7000000002</v>
      </c>
    </row>
    <row r="155" spans="1:13" s="145" customFormat="1" ht="31.5" customHeight="1" x14ac:dyDescent="0.25">
      <c r="A155" s="290" t="s">
        <v>42</v>
      </c>
      <c r="B155" s="279">
        <v>7461</v>
      </c>
      <c r="C155" s="233" t="s">
        <v>20</v>
      </c>
      <c r="D155" s="254" t="s">
        <v>43</v>
      </c>
      <c r="E155" s="97" t="s">
        <v>113</v>
      </c>
      <c r="F155" s="31">
        <v>2021</v>
      </c>
      <c r="G155" s="87">
        <f t="shared" ref="G155:G156" si="15">I155</f>
        <v>483498</v>
      </c>
      <c r="H155" s="144">
        <v>0</v>
      </c>
      <c r="I155" s="87">
        <v>483498</v>
      </c>
      <c r="J155" s="31"/>
      <c r="K155" s="59">
        <v>2077</v>
      </c>
      <c r="L155" s="107"/>
      <c r="M155" s="107">
        <f t="shared" si="11"/>
        <v>483498</v>
      </c>
    </row>
    <row r="156" spans="1:13" s="145" customFormat="1" ht="31.5" x14ac:dyDescent="0.25">
      <c r="A156" s="291"/>
      <c r="B156" s="293"/>
      <c r="C156" s="247"/>
      <c r="D156" s="255"/>
      <c r="E156" s="97" t="s">
        <v>133</v>
      </c>
      <c r="F156" s="31">
        <v>2021</v>
      </c>
      <c r="G156" s="87">
        <f t="shared" si="15"/>
        <v>1499979</v>
      </c>
      <c r="H156" s="144">
        <v>0</v>
      </c>
      <c r="I156" s="87">
        <v>1499979</v>
      </c>
      <c r="J156" s="31"/>
      <c r="K156" s="59">
        <v>2078</v>
      </c>
      <c r="L156" s="107"/>
      <c r="M156" s="107">
        <f t="shared" si="11"/>
        <v>1499979</v>
      </c>
    </row>
    <row r="157" spans="1:13" s="145" customFormat="1" ht="31.5" x14ac:dyDescent="0.25">
      <c r="A157" s="291"/>
      <c r="B157" s="293"/>
      <c r="C157" s="247"/>
      <c r="D157" s="255"/>
      <c r="E157" s="97" t="s">
        <v>134</v>
      </c>
      <c r="F157" s="31">
        <v>2021</v>
      </c>
      <c r="G157" s="87">
        <f>I157</f>
        <v>29313</v>
      </c>
      <c r="H157" s="144">
        <v>0</v>
      </c>
      <c r="I157" s="87">
        <v>29313</v>
      </c>
      <c r="J157" s="31"/>
      <c r="K157" s="59">
        <v>2079</v>
      </c>
      <c r="L157" s="107">
        <v>29313</v>
      </c>
      <c r="M157" s="107">
        <f t="shared" si="11"/>
        <v>0</v>
      </c>
    </row>
    <row r="158" spans="1:13" s="145" customFormat="1" ht="18.75" x14ac:dyDescent="0.25">
      <c r="A158" s="291"/>
      <c r="B158" s="293"/>
      <c r="C158" s="247"/>
      <c r="D158" s="255"/>
      <c r="E158" s="97" t="s">
        <v>247</v>
      </c>
      <c r="F158" s="31">
        <v>2021</v>
      </c>
      <c r="G158" s="87">
        <f>I158</f>
        <v>1492497</v>
      </c>
      <c r="H158" s="144">
        <v>0</v>
      </c>
      <c r="I158" s="87">
        <f>1380691+111806</f>
        <v>1492497</v>
      </c>
      <c r="J158" s="31"/>
      <c r="K158" s="59">
        <v>2080</v>
      </c>
      <c r="L158" s="107"/>
      <c r="M158" s="107">
        <f t="shared" si="11"/>
        <v>1492497</v>
      </c>
    </row>
    <row r="159" spans="1:13" s="145" customFormat="1" ht="31.5" x14ac:dyDescent="0.25">
      <c r="A159" s="291"/>
      <c r="B159" s="293"/>
      <c r="C159" s="247"/>
      <c r="D159" s="255"/>
      <c r="E159" s="97" t="s">
        <v>109</v>
      </c>
      <c r="F159" s="31">
        <v>2021</v>
      </c>
      <c r="G159" s="87">
        <f t="shared" ref="G159:G160" si="16">I159</f>
        <v>48777</v>
      </c>
      <c r="H159" s="144">
        <v>0</v>
      </c>
      <c r="I159" s="87">
        <v>48777</v>
      </c>
      <c r="J159" s="31"/>
      <c r="K159" s="59">
        <v>2081</v>
      </c>
      <c r="L159" s="107">
        <f>I159</f>
        <v>48777</v>
      </c>
      <c r="M159" s="107">
        <f t="shared" si="11"/>
        <v>0</v>
      </c>
    </row>
    <row r="160" spans="1:13" s="145" customFormat="1" ht="31.5" x14ac:dyDescent="0.25">
      <c r="A160" s="291"/>
      <c r="B160" s="293"/>
      <c r="C160" s="247"/>
      <c r="D160" s="255"/>
      <c r="E160" s="97" t="s">
        <v>108</v>
      </c>
      <c r="F160" s="31">
        <v>2021</v>
      </c>
      <c r="G160" s="87">
        <f t="shared" si="16"/>
        <v>47835</v>
      </c>
      <c r="H160" s="144">
        <v>0</v>
      </c>
      <c r="I160" s="87">
        <v>47835</v>
      </c>
      <c r="J160" s="31"/>
      <c r="K160" s="59">
        <v>2082</v>
      </c>
      <c r="L160" s="107">
        <f>I160</f>
        <v>47835</v>
      </c>
      <c r="M160" s="107">
        <f t="shared" si="11"/>
        <v>0</v>
      </c>
    </row>
    <row r="161" spans="1:13" s="145" customFormat="1" ht="31.5" x14ac:dyDescent="0.25">
      <c r="A161" s="291"/>
      <c r="B161" s="293"/>
      <c r="C161" s="247"/>
      <c r="D161" s="255"/>
      <c r="E161" s="97" t="s">
        <v>112</v>
      </c>
      <c r="F161" s="31">
        <v>2021</v>
      </c>
      <c r="G161" s="87">
        <f t="shared" ref="G161:G170" si="17">I161</f>
        <v>25000</v>
      </c>
      <c r="H161" s="144">
        <v>0</v>
      </c>
      <c r="I161" s="87">
        <v>25000</v>
      </c>
      <c r="J161" s="31"/>
      <c r="K161" s="59">
        <v>2083</v>
      </c>
      <c r="L161" s="107">
        <f>I161</f>
        <v>25000</v>
      </c>
      <c r="M161" s="107">
        <f t="shared" si="11"/>
        <v>0</v>
      </c>
    </row>
    <row r="162" spans="1:13" s="145" customFormat="1" ht="31.5" x14ac:dyDescent="0.25">
      <c r="A162" s="291"/>
      <c r="B162" s="293"/>
      <c r="C162" s="247"/>
      <c r="D162" s="255"/>
      <c r="E162" s="97" t="s">
        <v>135</v>
      </c>
      <c r="F162" s="31">
        <v>2021</v>
      </c>
      <c r="G162" s="87">
        <f t="shared" si="17"/>
        <v>49899</v>
      </c>
      <c r="H162" s="144">
        <v>0</v>
      </c>
      <c r="I162" s="87">
        <v>49899</v>
      </c>
      <c r="J162" s="31"/>
      <c r="K162" s="59">
        <v>2084</v>
      </c>
      <c r="L162" s="107">
        <f>I162</f>
        <v>49899</v>
      </c>
      <c r="M162" s="107">
        <f t="shared" si="11"/>
        <v>0</v>
      </c>
    </row>
    <row r="163" spans="1:13" s="145" customFormat="1" ht="31.5" x14ac:dyDescent="0.25">
      <c r="A163" s="291"/>
      <c r="B163" s="293"/>
      <c r="C163" s="247"/>
      <c r="D163" s="255"/>
      <c r="E163" s="97" t="s">
        <v>136</v>
      </c>
      <c r="F163" s="31">
        <v>2021</v>
      </c>
      <c r="G163" s="87">
        <f t="shared" si="17"/>
        <v>35854</v>
      </c>
      <c r="H163" s="144">
        <v>0</v>
      </c>
      <c r="I163" s="87">
        <v>35854</v>
      </c>
      <c r="J163" s="31"/>
      <c r="K163" s="59">
        <v>2085</v>
      </c>
      <c r="L163" s="107">
        <f>I163</f>
        <v>35854</v>
      </c>
      <c r="M163" s="107">
        <f t="shared" si="11"/>
        <v>0</v>
      </c>
    </row>
    <row r="164" spans="1:13" s="145" customFormat="1" ht="31.5" x14ac:dyDescent="0.25">
      <c r="A164" s="291"/>
      <c r="B164" s="293"/>
      <c r="C164" s="247"/>
      <c r="D164" s="255"/>
      <c r="E164" s="97" t="s">
        <v>137</v>
      </c>
      <c r="F164" s="31">
        <v>2021</v>
      </c>
      <c r="G164" s="87">
        <f t="shared" si="17"/>
        <v>197823</v>
      </c>
      <c r="H164" s="144">
        <v>0</v>
      </c>
      <c r="I164" s="87">
        <v>197823</v>
      </c>
      <c r="J164" s="31"/>
      <c r="K164" s="59">
        <v>2086</v>
      </c>
      <c r="L164" s="107">
        <v>196302</v>
      </c>
      <c r="M164" s="107">
        <f t="shared" si="11"/>
        <v>1521</v>
      </c>
    </row>
    <row r="165" spans="1:13" s="145" customFormat="1" ht="31.5" x14ac:dyDescent="0.25">
      <c r="A165" s="291"/>
      <c r="B165" s="293"/>
      <c r="C165" s="247"/>
      <c r="D165" s="255"/>
      <c r="E165" s="97" t="s">
        <v>138</v>
      </c>
      <c r="F165" s="31">
        <v>2021</v>
      </c>
      <c r="G165" s="87">
        <f t="shared" si="17"/>
        <v>49122</v>
      </c>
      <c r="H165" s="144">
        <v>0</v>
      </c>
      <c r="I165" s="87">
        <v>49122</v>
      </c>
      <c r="J165" s="31"/>
      <c r="K165" s="59">
        <v>2087</v>
      </c>
      <c r="L165" s="107">
        <f>I165</f>
        <v>49122</v>
      </c>
      <c r="M165" s="107">
        <f t="shared" si="11"/>
        <v>0</v>
      </c>
    </row>
    <row r="166" spans="1:13" s="145" customFormat="1" ht="31.5" x14ac:dyDescent="0.25">
      <c r="A166" s="291"/>
      <c r="B166" s="293"/>
      <c r="C166" s="247"/>
      <c r="D166" s="255"/>
      <c r="E166" s="97" t="s">
        <v>111</v>
      </c>
      <c r="F166" s="31">
        <v>2021</v>
      </c>
      <c r="G166" s="87">
        <f t="shared" si="17"/>
        <v>49730</v>
      </c>
      <c r="H166" s="144">
        <v>0</v>
      </c>
      <c r="I166" s="87">
        <v>49730</v>
      </c>
      <c r="J166" s="31"/>
      <c r="K166" s="59">
        <v>2088</v>
      </c>
      <c r="L166" s="107">
        <f>I166</f>
        <v>49730</v>
      </c>
      <c r="M166" s="107">
        <f t="shared" si="11"/>
        <v>0</v>
      </c>
    </row>
    <row r="167" spans="1:13" s="145" customFormat="1" ht="31.5" x14ac:dyDescent="0.25">
      <c r="A167" s="291"/>
      <c r="B167" s="293"/>
      <c r="C167" s="247"/>
      <c r="D167" s="255"/>
      <c r="E167" s="34" t="s">
        <v>110</v>
      </c>
      <c r="F167" s="31">
        <v>2021</v>
      </c>
      <c r="G167" s="87">
        <f t="shared" si="17"/>
        <v>152924</v>
      </c>
      <c r="H167" s="144">
        <v>0</v>
      </c>
      <c r="I167" s="87">
        <v>152924</v>
      </c>
      <c r="J167" s="31"/>
      <c r="K167" s="59">
        <v>2089</v>
      </c>
      <c r="L167" s="107"/>
      <c r="M167" s="107">
        <f t="shared" si="11"/>
        <v>152924</v>
      </c>
    </row>
    <row r="168" spans="1:13" s="145" customFormat="1" ht="31.5" x14ac:dyDescent="0.25">
      <c r="A168" s="291"/>
      <c r="B168" s="293"/>
      <c r="C168" s="247"/>
      <c r="D168" s="255"/>
      <c r="E168" s="34" t="s">
        <v>115</v>
      </c>
      <c r="F168" s="31">
        <v>2021</v>
      </c>
      <c r="G168" s="87">
        <f t="shared" si="17"/>
        <v>49359</v>
      </c>
      <c r="H168" s="144">
        <v>0</v>
      </c>
      <c r="I168" s="87">
        <v>49359</v>
      </c>
      <c r="J168" s="31"/>
      <c r="K168" s="59">
        <v>2090</v>
      </c>
      <c r="L168" s="107">
        <f>I168</f>
        <v>49359</v>
      </c>
      <c r="M168" s="107">
        <f t="shared" si="11"/>
        <v>0</v>
      </c>
    </row>
    <row r="169" spans="1:13" s="145" customFormat="1" ht="31.5" x14ac:dyDescent="0.25">
      <c r="A169" s="291"/>
      <c r="B169" s="293"/>
      <c r="C169" s="247"/>
      <c r="D169" s="255"/>
      <c r="E169" s="97" t="s">
        <v>140</v>
      </c>
      <c r="F169" s="31">
        <v>2021</v>
      </c>
      <c r="G169" s="87">
        <f t="shared" si="17"/>
        <v>25375</v>
      </c>
      <c r="H169" s="144">
        <v>0</v>
      </c>
      <c r="I169" s="87">
        <v>25375</v>
      </c>
      <c r="J169" s="31"/>
      <c r="K169" s="59">
        <v>2091</v>
      </c>
      <c r="L169" s="107">
        <f>I169</f>
        <v>25375</v>
      </c>
      <c r="M169" s="107">
        <f t="shared" si="11"/>
        <v>0</v>
      </c>
    </row>
    <row r="170" spans="1:13" s="145" customFormat="1" ht="47.25" x14ac:dyDescent="0.25">
      <c r="A170" s="291"/>
      <c r="B170" s="293"/>
      <c r="C170" s="247"/>
      <c r="D170" s="255"/>
      <c r="E170" s="34" t="s">
        <v>116</v>
      </c>
      <c r="F170" s="31">
        <v>2021</v>
      </c>
      <c r="G170" s="87">
        <f t="shared" si="17"/>
        <v>165400</v>
      </c>
      <c r="H170" s="144">
        <v>0</v>
      </c>
      <c r="I170" s="87">
        <v>165400</v>
      </c>
      <c r="J170" s="31"/>
      <c r="K170" s="59">
        <v>2092</v>
      </c>
      <c r="L170" s="107">
        <v>163473</v>
      </c>
      <c r="M170" s="107">
        <f t="shared" si="11"/>
        <v>1927</v>
      </c>
    </row>
    <row r="171" spans="1:13" s="175" customFormat="1" ht="31.5" x14ac:dyDescent="0.25">
      <c r="A171" s="291"/>
      <c r="B171" s="293"/>
      <c r="C171" s="247"/>
      <c r="D171" s="255"/>
      <c r="E171" s="34" t="s">
        <v>157</v>
      </c>
      <c r="F171" s="31">
        <v>2021</v>
      </c>
      <c r="G171" s="87">
        <f>I171</f>
        <v>455618.78</v>
      </c>
      <c r="H171" s="144">
        <v>0</v>
      </c>
      <c r="I171" s="87">
        <v>455618.78</v>
      </c>
      <c r="J171" s="31"/>
      <c r="K171" s="102">
        <v>2102</v>
      </c>
      <c r="L171" s="109"/>
      <c r="M171" s="109">
        <f t="shared" si="11"/>
        <v>455618.78</v>
      </c>
    </row>
    <row r="172" spans="1:13" s="175" customFormat="1" ht="31.5" x14ac:dyDescent="0.25">
      <c r="A172" s="291"/>
      <c r="B172" s="293"/>
      <c r="C172" s="247"/>
      <c r="D172" s="255"/>
      <c r="E172" s="34" t="s">
        <v>158</v>
      </c>
      <c r="F172" s="31">
        <v>2021</v>
      </c>
      <c r="G172" s="87">
        <f>I172</f>
        <v>6575.93</v>
      </c>
      <c r="H172" s="144">
        <v>0</v>
      </c>
      <c r="I172" s="87">
        <v>6575.93</v>
      </c>
      <c r="J172" s="31"/>
      <c r="K172" s="102">
        <v>2103</v>
      </c>
      <c r="L172" s="109"/>
      <c r="M172" s="109">
        <f t="shared" si="11"/>
        <v>6575.93</v>
      </c>
    </row>
    <row r="173" spans="1:13" s="175" customFormat="1" ht="31.5" x14ac:dyDescent="0.25">
      <c r="A173" s="291"/>
      <c r="B173" s="293"/>
      <c r="C173" s="247"/>
      <c r="D173" s="255"/>
      <c r="E173" s="34" t="s">
        <v>154</v>
      </c>
      <c r="F173" s="31">
        <v>2021</v>
      </c>
      <c r="G173" s="87">
        <f>I173</f>
        <v>4649124</v>
      </c>
      <c r="H173" s="144">
        <v>0</v>
      </c>
      <c r="I173" s="87">
        <v>4649124</v>
      </c>
      <c r="J173" s="31"/>
      <c r="K173" s="102">
        <v>2104</v>
      </c>
      <c r="L173" s="109">
        <f>13020+1722326.19+1415062.1</f>
        <v>3150408.29</v>
      </c>
      <c r="M173" s="109">
        <f t="shared" si="11"/>
        <v>1498715.71</v>
      </c>
    </row>
    <row r="174" spans="1:13" s="145" customFormat="1" ht="31.5" x14ac:dyDescent="0.25">
      <c r="A174" s="291"/>
      <c r="B174" s="293"/>
      <c r="C174" s="247"/>
      <c r="D174" s="255"/>
      <c r="E174" s="34" t="s">
        <v>151</v>
      </c>
      <c r="F174" s="31">
        <v>2021</v>
      </c>
      <c r="G174" s="87">
        <f>I174</f>
        <v>2086945</v>
      </c>
      <c r="H174" s="144">
        <v>0</v>
      </c>
      <c r="I174" s="87">
        <v>2086945</v>
      </c>
      <c r="J174" s="31"/>
      <c r="K174" s="59">
        <v>2105</v>
      </c>
      <c r="L174" s="107"/>
      <c r="M174" s="107">
        <f t="shared" si="11"/>
        <v>2086945</v>
      </c>
    </row>
    <row r="175" spans="1:13" s="145" customFormat="1" ht="18.75" x14ac:dyDescent="0.25">
      <c r="A175" s="291"/>
      <c r="B175" s="293"/>
      <c r="C175" s="247"/>
      <c r="D175" s="255"/>
      <c r="E175" s="34" t="s">
        <v>250</v>
      </c>
      <c r="F175" s="31">
        <v>2021</v>
      </c>
      <c r="G175" s="87">
        <v>2639078</v>
      </c>
      <c r="H175" s="144">
        <v>0</v>
      </c>
      <c r="I175" s="87">
        <f>G175</f>
        <v>2639078</v>
      </c>
      <c r="J175" s="31"/>
      <c r="K175" s="59">
        <v>2141</v>
      </c>
      <c r="L175" s="107">
        <v>590409.9</v>
      </c>
      <c r="M175" s="107">
        <f t="shared" si="11"/>
        <v>2048668.1</v>
      </c>
    </row>
    <row r="176" spans="1:13" s="145" customFormat="1" ht="31.5" x14ac:dyDescent="0.25">
      <c r="A176" s="292"/>
      <c r="B176" s="280"/>
      <c r="C176" s="234"/>
      <c r="D176" s="256"/>
      <c r="E176" s="34" t="s">
        <v>331</v>
      </c>
      <c r="F176" s="218">
        <v>2021</v>
      </c>
      <c r="G176" s="87">
        <v>1729192</v>
      </c>
      <c r="H176" s="144">
        <v>0</v>
      </c>
      <c r="I176" s="87">
        <v>1729192</v>
      </c>
      <c r="J176" s="218"/>
      <c r="K176" s="59">
        <v>2196</v>
      </c>
      <c r="L176" s="107"/>
      <c r="M176" s="107"/>
    </row>
    <row r="177" spans="1:52" s="145" customFormat="1" ht="31.5" x14ac:dyDescent="0.25">
      <c r="A177" s="233" t="s">
        <v>122</v>
      </c>
      <c r="B177" s="228">
        <v>7330</v>
      </c>
      <c r="C177" s="233" t="s">
        <v>24</v>
      </c>
      <c r="D177" s="254" t="s">
        <v>121</v>
      </c>
      <c r="E177" s="34" t="s">
        <v>168</v>
      </c>
      <c r="F177" s="31">
        <v>2021</v>
      </c>
      <c r="G177" s="87">
        <f>I177</f>
        <v>49500</v>
      </c>
      <c r="H177" s="144">
        <v>0</v>
      </c>
      <c r="I177" s="87">
        <v>49500</v>
      </c>
      <c r="J177" s="31"/>
      <c r="K177" s="59">
        <v>2093</v>
      </c>
      <c r="L177" s="107">
        <v>49500</v>
      </c>
      <c r="M177" s="107">
        <f>I177-L177</f>
        <v>0</v>
      </c>
    </row>
    <row r="178" spans="1:52" s="145" customFormat="1" ht="31.5" x14ac:dyDescent="0.25">
      <c r="A178" s="247"/>
      <c r="B178" s="248"/>
      <c r="C178" s="247"/>
      <c r="D178" s="255"/>
      <c r="E178" s="34" t="s">
        <v>260</v>
      </c>
      <c r="F178" s="31">
        <v>2021</v>
      </c>
      <c r="G178" s="87">
        <v>193170</v>
      </c>
      <c r="H178" s="144">
        <v>0</v>
      </c>
      <c r="I178" s="87">
        <v>193170</v>
      </c>
      <c r="J178" s="31"/>
      <c r="K178" s="59">
        <v>2144</v>
      </c>
      <c r="L178" s="107"/>
      <c r="M178" s="107">
        <f>I178-L178</f>
        <v>193170</v>
      </c>
    </row>
    <row r="179" spans="1:52" s="145" customFormat="1" ht="31.5" x14ac:dyDescent="0.25">
      <c r="A179" s="234"/>
      <c r="B179" s="229"/>
      <c r="C179" s="234"/>
      <c r="D179" s="256"/>
      <c r="E179" s="34" t="s">
        <v>284</v>
      </c>
      <c r="F179" s="31">
        <v>2021</v>
      </c>
      <c r="G179" s="87">
        <v>53038930</v>
      </c>
      <c r="H179" s="144">
        <v>0</v>
      </c>
      <c r="I179" s="87">
        <v>17000000</v>
      </c>
      <c r="J179" s="31"/>
      <c r="K179" s="59">
        <v>2170</v>
      </c>
      <c r="L179" s="107">
        <f>5100000</f>
        <v>5100000</v>
      </c>
      <c r="M179" s="107">
        <f>I179-L179</f>
        <v>11900000</v>
      </c>
    </row>
    <row r="180" spans="1:52" s="152" customFormat="1" ht="18.75" x14ac:dyDescent="0.2">
      <c r="A180" s="238"/>
      <c r="B180" s="239"/>
      <c r="C180" s="240"/>
      <c r="D180" s="40" t="s">
        <v>77</v>
      </c>
      <c r="E180" s="149"/>
      <c r="F180" s="44" t="s">
        <v>7</v>
      </c>
      <c r="G180" s="83" t="s">
        <v>7</v>
      </c>
      <c r="H180" s="83" t="s">
        <v>7</v>
      </c>
      <c r="I180" s="83">
        <f>SUM(I181:I190)</f>
        <v>21354402</v>
      </c>
      <c r="J180" s="44" t="s">
        <v>7</v>
      </c>
      <c r="K180" s="276"/>
      <c r="L180" s="277"/>
      <c r="M180" s="278"/>
      <c r="N180" s="151"/>
      <c r="O180" s="151"/>
      <c r="P180" s="151"/>
      <c r="Q180" s="151"/>
      <c r="R180" s="151"/>
      <c r="S180" s="151"/>
      <c r="T180" s="151"/>
      <c r="U180" s="151"/>
      <c r="V180" s="151"/>
      <c r="W180" s="151"/>
      <c r="X180" s="151"/>
      <c r="Y180" s="151"/>
      <c r="Z180" s="151"/>
      <c r="AA180" s="151"/>
      <c r="AB180" s="151"/>
      <c r="AC180" s="151"/>
      <c r="AD180" s="151"/>
      <c r="AE180" s="151"/>
      <c r="AF180" s="151"/>
      <c r="AG180" s="151"/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</row>
    <row r="181" spans="1:52" s="145" customFormat="1" ht="18.75" x14ac:dyDescent="0.25">
      <c r="A181" s="249" t="s">
        <v>11</v>
      </c>
      <c r="B181" s="253">
        <v>6030</v>
      </c>
      <c r="C181" s="250" t="s">
        <v>18</v>
      </c>
      <c r="D181" s="251" t="s">
        <v>19</v>
      </c>
      <c r="E181" s="34" t="s">
        <v>92</v>
      </c>
      <c r="F181" s="218">
        <v>2021</v>
      </c>
      <c r="G181" s="87">
        <v>0</v>
      </c>
      <c r="H181" s="144">
        <v>0</v>
      </c>
      <c r="I181" s="87">
        <f>3466000+1700000+890000+224000+91640+3550000</f>
        <v>9921640</v>
      </c>
      <c r="J181" s="218"/>
      <c r="K181" s="59">
        <v>2052</v>
      </c>
      <c r="L181" s="107">
        <f>185130+167328+11352+3257070+933730+1698000+90230</f>
        <v>6342840</v>
      </c>
      <c r="M181" s="107">
        <f t="shared" ref="M181:M188" si="18">I181-L181</f>
        <v>3578800</v>
      </c>
      <c r="N181" s="145" t="s">
        <v>216</v>
      </c>
    </row>
    <row r="182" spans="1:52" s="145" customFormat="1" ht="31.5" x14ac:dyDescent="0.25">
      <c r="A182" s="249"/>
      <c r="B182" s="253"/>
      <c r="C182" s="250"/>
      <c r="D182" s="251"/>
      <c r="E182" s="34" t="s">
        <v>231</v>
      </c>
      <c r="F182" s="31">
        <v>2021</v>
      </c>
      <c r="G182" s="87">
        <f>I182</f>
        <v>1304658.2</v>
      </c>
      <c r="H182" s="144">
        <v>0</v>
      </c>
      <c r="I182" s="87">
        <f>15001+1449552-159894.8</f>
        <v>1304658.2</v>
      </c>
      <c r="J182" s="31"/>
      <c r="K182" s="59">
        <v>2128</v>
      </c>
      <c r="L182" s="107">
        <f>15000+1250000+19657.2</f>
        <v>1284657.2</v>
      </c>
      <c r="M182" s="107">
        <f t="shared" si="18"/>
        <v>20001</v>
      </c>
    </row>
    <row r="183" spans="1:52" s="145" customFormat="1" ht="18.75" x14ac:dyDescent="0.25">
      <c r="A183" s="249"/>
      <c r="B183" s="253"/>
      <c r="C183" s="250"/>
      <c r="D183" s="251"/>
      <c r="E183" s="6" t="s">
        <v>235</v>
      </c>
      <c r="F183" s="31">
        <v>2021</v>
      </c>
      <c r="G183" s="87">
        <f>I183</f>
        <v>1343091.8</v>
      </c>
      <c r="H183" s="144">
        <v>0</v>
      </c>
      <c r="I183" s="87">
        <f>1437340-84000-10248.2</f>
        <v>1343091.8</v>
      </c>
      <c r="J183" s="31"/>
      <c r="K183" s="59">
        <v>2145</v>
      </c>
      <c r="L183" s="107"/>
      <c r="M183" s="107">
        <f t="shared" si="18"/>
        <v>1343091.8</v>
      </c>
    </row>
    <row r="184" spans="1:52" s="145" customFormat="1" ht="18.75" x14ac:dyDescent="0.25">
      <c r="A184" s="249"/>
      <c r="B184" s="253"/>
      <c r="C184" s="250"/>
      <c r="D184" s="251"/>
      <c r="E184" s="34" t="s">
        <v>236</v>
      </c>
      <c r="F184" s="31">
        <v>2021</v>
      </c>
      <c r="G184" s="87">
        <v>1486243</v>
      </c>
      <c r="H184" s="144">
        <v>0</v>
      </c>
      <c r="I184" s="87">
        <f>1371210+84000</f>
        <v>1455210</v>
      </c>
      <c r="J184" s="31"/>
      <c r="K184" s="59">
        <v>2146</v>
      </c>
      <c r="L184" s="107">
        <f>1369691.2+81463.25</f>
        <v>1451154.45</v>
      </c>
      <c r="M184" s="107">
        <f t="shared" si="18"/>
        <v>4055.5500000000466</v>
      </c>
    </row>
    <row r="185" spans="1:52" s="15" customFormat="1" ht="31.5" x14ac:dyDescent="0.25">
      <c r="A185" s="249"/>
      <c r="B185" s="253"/>
      <c r="C185" s="250"/>
      <c r="D185" s="251"/>
      <c r="E185" s="34" t="s">
        <v>273</v>
      </c>
      <c r="F185" s="31">
        <v>2021</v>
      </c>
      <c r="G185" s="32">
        <v>1566250</v>
      </c>
      <c r="H185" s="93">
        <v>0</v>
      </c>
      <c r="I185" s="32">
        <f>G185</f>
        <v>1566250</v>
      </c>
      <c r="J185" s="202"/>
      <c r="K185" s="58">
        <v>2161</v>
      </c>
      <c r="L185" s="184">
        <f>30405+1117148.31</f>
        <v>1147553.31</v>
      </c>
      <c r="M185" s="107">
        <f t="shared" si="18"/>
        <v>418696.68999999994</v>
      </c>
    </row>
    <row r="186" spans="1:52" s="15" customFormat="1" ht="31.5" x14ac:dyDescent="0.25">
      <c r="A186" s="249"/>
      <c r="B186" s="253"/>
      <c r="C186" s="250"/>
      <c r="D186" s="251"/>
      <c r="E186" s="34" t="s">
        <v>274</v>
      </c>
      <c r="F186" s="31">
        <v>2021</v>
      </c>
      <c r="G186" s="32">
        <v>396175</v>
      </c>
      <c r="H186" s="93">
        <v>0</v>
      </c>
      <c r="I186" s="32">
        <f t="shared" ref="I186:I187" si="19">G186</f>
        <v>396175</v>
      </c>
      <c r="J186" s="33"/>
      <c r="K186" s="58">
        <v>2162</v>
      </c>
      <c r="L186" s="107">
        <f>339255.37+4705.43+34722</f>
        <v>378682.8</v>
      </c>
      <c r="M186" s="107">
        <f t="shared" si="18"/>
        <v>17492.200000000012</v>
      </c>
    </row>
    <row r="187" spans="1:52" s="15" customFormat="1" ht="31.5" x14ac:dyDescent="0.25">
      <c r="A187" s="249"/>
      <c r="B187" s="253"/>
      <c r="C187" s="250"/>
      <c r="D187" s="251"/>
      <c r="E187" s="34" t="s">
        <v>275</v>
      </c>
      <c r="F187" s="31">
        <v>2021</v>
      </c>
      <c r="G187" s="32">
        <v>929194</v>
      </c>
      <c r="H187" s="93">
        <v>0</v>
      </c>
      <c r="I187" s="32">
        <f t="shared" si="19"/>
        <v>929194</v>
      </c>
      <c r="J187" s="33"/>
      <c r="K187" s="58">
        <v>2163</v>
      </c>
      <c r="L187" s="63">
        <f>23887+890491.21</f>
        <v>914378.21</v>
      </c>
      <c r="M187" s="107">
        <f t="shared" si="18"/>
        <v>14815.790000000037</v>
      </c>
    </row>
    <row r="188" spans="1:52" s="15" customFormat="1" ht="31.5" x14ac:dyDescent="0.25">
      <c r="A188" s="249"/>
      <c r="B188" s="253"/>
      <c r="C188" s="250"/>
      <c r="D188" s="251"/>
      <c r="E188" s="34" t="s">
        <v>276</v>
      </c>
      <c r="F188" s="31">
        <v>2021</v>
      </c>
      <c r="G188" s="32">
        <f>768040+170143</f>
        <v>938183</v>
      </c>
      <c r="H188" s="93">
        <v>0</v>
      </c>
      <c r="I188" s="32">
        <f>G188</f>
        <v>938183</v>
      </c>
      <c r="J188" s="33"/>
      <c r="K188" s="58">
        <v>2164</v>
      </c>
      <c r="L188" s="107"/>
      <c r="M188" s="107">
        <f t="shared" si="18"/>
        <v>938183</v>
      </c>
    </row>
    <row r="189" spans="1:52" s="123" customFormat="1" ht="18.75" customHeight="1" x14ac:dyDescent="0.2">
      <c r="A189" s="122"/>
      <c r="B189" s="122"/>
      <c r="C189" s="122"/>
      <c r="D189" s="224" t="s">
        <v>145</v>
      </c>
      <c r="E189" s="224"/>
      <c r="F189" s="224"/>
      <c r="G189" s="224"/>
      <c r="H189" s="224"/>
      <c r="I189" s="224"/>
      <c r="J189" s="225"/>
      <c r="K189" s="122"/>
      <c r="L189" s="122"/>
      <c r="M189" s="122"/>
      <c r="N189" s="122"/>
      <c r="O189" s="122"/>
      <c r="P189" s="122"/>
      <c r="Q189" s="122"/>
      <c r="R189" s="122"/>
      <c r="S189" s="122"/>
      <c r="T189" s="122"/>
      <c r="U189" s="122"/>
      <c r="V189" s="122"/>
      <c r="W189" s="122"/>
      <c r="X189" s="122"/>
      <c r="Y189" s="122"/>
      <c r="Z189" s="122"/>
      <c r="AA189" s="122"/>
      <c r="AB189" s="122"/>
      <c r="AC189" s="122"/>
      <c r="AD189" s="122"/>
      <c r="AE189" s="122"/>
      <c r="AF189" s="122"/>
      <c r="AG189" s="122"/>
      <c r="AH189" s="122"/>
      <c r="AI189" s="122"/>
      <c r="AJ189" s="122"/>
      <c r="AK189" s="122"/>
      <c r="AL189" s="122"/>
      <c r="AM189" s="122"/>
      <c r="AN189" s="122"/>
      <c r="AO189" s="122"/>
      <c r="AP189" s="122"/>
      <c r="AQ189" s="122"/>
      <c r="AR189" s="122"/>
      <c r="AS189" s="122"/>
      <c r="AT189" s="122"/>
      <c r="AU189" s="122"/>
      <c r="AV189" s="122"/>
      <c r="AW189" s="122"/>
      <c r="AX189" s="122"/>
      <c r="AY189" s="122"/>
      <c r="AZ189" s="122"/>
    </row>
    <row r="190" spans="1:52" s="145" customFormat="1" ht="47.25" x14ac:dyDescent="0.2">
      <c r="A190" s="131" t="s">
        <v>56</v>
      </c>
      <c r="B190" s="190" t="s">
        <v>301</v>
      </c>
      <c r="C190" s="192" t="s">
        <v>5</v>
      </c>
      <c r="D190" s="193" t="s">
        <v>57</v>
      </c>
      <c r="E190" s="16" t="s">
        <v>271</v>
      </c>
      <c r="F190" s="31">
        <v>2021</v>
      </c>
      <c r="G190" s="87">
        <v>8953609</v>
      </c>
      <c r="H190" s="144">
        <v>0</v>
      </c>
      <c r="I190" s="87">
        <v>3500000</v>
      </c>
      <c r="J190" s="31"/>
      <c r="K190" s="59">
        <v>2024</v>
      </c>
      <c r="L190" s="107">
        <v>0</v>
      </c>
      <c r="M190" s="107">
        <f>I190-L190</f>
        <v>3500000</v>
      </c>
    </row>
    <row r="191" spans="1:52" s="5" customFormat="1" ht="18.75" x14ac:dyDescent="0.2">
      <c r="A191" s="235"/>
      <c r="B191" s="236"/>
      <c r="C191" s="237"/>
      <c r="D191" s="40" t="s">
        <v>118</v>
      </c>
      <c r="E191" s="41"/>
      <c r="F191" s="44" t="s">
        <v>7</v>
      </c>
      <c r="G191" s="84" t="s">
        <v>7</v>
      </c>
      <c r="H191" s="84" t="s">
        <v>7</v>
      </c>
      <c r="I191" s="84">
        <f>I192</f>
        <v>146700</v>
      </c>
      <c r="J191" s="90" t="s">
        <v>7</v>
      </c>
      <c r="K191" s="119"/>
      <c r="L191" s="120"/>
      <c r="M191" s="12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</row>
    <row r="192" spans="1:52" s="15" customFormat="1" ht="18.75" x14ac:dyDescent="0.25">
      <c r="A192" s="7" t="s">
        <v>117</v>
      </c>
      <c r="B192" s="60" t="s">
        <v>22</v>
      </c>
      <c r="C192" s="61" t="s">
        <v>120</v>
      </c>
      <c r="D192" s="62" t="s">
        <v>119</v>
      </c>
      <c r="E192" s="34" t="s">
        <v>92</v>
      </c>
      <c r="F192" s="31">
        <v>2021</v>
      </c>
      <c r="G192" s="32">
        <v>0</v>
      </c>
      <c r="H192" s="93">
        <v>0</v>
      </c>
      <c r="I192" s="32">
        <v>146700</v>
      </c>
      <c r="J192" s="33"/>
      <c r="K192" s="58">
        <v>2094</v>
      </c>
      <c r="L192" s="107">
        <f>129260+7197</f>
        <v>136457</v>
      </c>
      <c r="M192" s="57">
        <f>I192-L192</f>
        <v>10243</v>
      </c>
      <c r="N192" s="15" t="s">
        <v>214</v>
      </c>
    </row>
    <row r="193" spans="1:52" s="5" customFormat="1" ht="18.75" x14ac:dyDescent="0.25">
      <c r="A193" s="81" t="s">
        <v>176</v>
      </c>
      <c r="B193" s="46"/>
      <c r="C193" s="35"/>
      <c r="D193" s="36" t="s">
        <v>73</v>
      </c>
      <c r="E193" s="37"/>
      <c r="F193" s="44" t="s">
        <v>7</v>
      </c>
      <c r="G193" s="84" t="s">
        <v>7</v>
      </c>
      <c r="H193" s="84" t="s">
        <v>7</v>
      </c>
      <c r="I193" s="84">
        <f>SUM(I194:I218)+I220+I222+I224+I225+I226+I227+I228+I229+I230+I232+I231+I221+I223</f>
        <v>69248342</v>
      </c>
      <c r="J193" s="90" t="s">
        <v>7</v>
      </c>
      <c r="K193" s="113"/>
      <c r="L193" s="114"/>
      <c r="M193" s="115"/>
    </row>
    <row r="194" spans="1:52" s="15" customFormat="1" ht="31.5" x14ac:dyDescent="0.25">
      <c r="A194" s="131" t="s">
        <v>282</v>
      </c>
      <c r="B194" s="132">
        <v>1021</v>
      </c>
      <c r="C194" s="131" t="s">
        <v>293</v>
      </c>
      <c r="D194" s="130" t="s">
        <v>283</v>
      </c>
      <c r="E194" s="98" t="s">
        <v>92</v>
      </c>
      <c r="F194" s="31">
        <v>2021</v>
      </c>
      <c r="G194" s="32">
        <v>0</v>
      </c>
      <c r="H194" s="93">
        <v>0</v>
      </c>
      <c r="I194" s="32">
        <v>151397</v>
      </c>
      <c r="J194" s="33"/>
      <c r="K194" s="58">
        <v>2160</v>
      </c>
      <c r="L194" s="108">
        <v>150900</v>
      </c>
      <c r="M194" s="57">
        <f t="shared" ref="M194:M218" si="20">I194-L194</f>
        <v>497</v>
      </c>
    </row>
    <row r="195" spans="1:52" s="15" customFormat="1" ht="37.5" customHeight="1" x14ac:dyDescent="0.25">
      <c r="A195" s="249" t="s">
        <v>23</v>
      </c>
      <c r="B195" s="252">
        <v>7321</v>
      </c>
      <c r="C195" s="249" t="s">
        <v>24</v>
      </c>
      <c r="D195" s="252" t="s">
        <v>47</v>
      </c>
      <c r="E195" s="34" t="s">
        <v>199</v>
      </c>
      <c r="F195" s="31">
        <v>2021</v>
      </c>
      <c r="G195" s="32">
        <f>I195</f>
        <v>329527</v>
      </c>
      <c r="H195" s="93">
        <v>0</v>
      </c>
      <c r="I195" s="32">
        <f>49900+279627</f>
        <v>329527</v>
      </c>
      <c r="J195" s="127"/>
      <c r="K195" s="58">
        <v>2028</v>
      </c>
      <c r="L195" s="108">
        <v>329527</v>
      </c>
      <c r="M195" s="57">
        <f t="shared" si="20"/>
        <v>0</v>
      </c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s="15" customFormat="1" ht="63.75" customHeight="1" x14ac:dyDescent="0.25">
      <c r="A196" s="249"/>
      <c r="B196" s="252"/>
      <c r="C196" s="249"/>
      <c r="D196" s="252"/>
      <c r="E196" s="34" t="s">
        <v>237</v>
      </c>
      <c r="F196" s="31">
        <v>2021</v>
      </c>
      <c r="G196" s="32">
        <f t="shared" ref="G196:G203" si="21">I196</f>
        <v>49500</v>
      </c>
      <c r="H196" s="93">
        <v>0</v>
      </c>
      <c r="I196" s="32">
        <v>49500</v>
      </c>
      <c r="J196" s="127"/>
      <c r="K196" s="58">
        <v>2095</v>
      </c>
      <c r="L196" s="108">
        <v>49500</v>
      </c>
      <c r="M196" s="57">
        <f t="shared" si="20"/>
        <v>0</v>
      </c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s="145" customFormat="1" ht="59.25" customHeight="1" x14ac:dyDescent="0.25">
      <c r="A197" s="249"/>
      <c r="B197" s="252"/>
      <c r="C197" s="249"/>
      <c r="D197" s="252"/>
      <c r="E197" s="34" t="s">
        <v>257</v>
      </c>
      <c r="F197" s="31">
        <v>2021</v>
      </c>
      <c r="G197" s="87">
        <v>9513572</v>
      </c>
      <c r="H197" s="144">
        <v>0</v>
      </c>
      <c r="I197" s="87">
        <v>4541047</v>
      </c>
      <c r="J197" s="147"/>
      <c r="K197" s="59">
        <v>2151</v>
      </c>
      <c r="L197" s="64">
        <f>599030.76+911757.12</f>
        <v>1510787.88</v>
      </c>
      <c r="M197" s="107">
        <f t="shared" si="20"/>
        <v>3030259.12</v>
      </c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s="72" customFormat="1" ht="47.25" x14ac:dyDescent="0.25">
      <c r="A198" s="249"/>
      <c r="B198" s="252"/>
      <c r="C198" s="249"/>
      <c r="D198" s="252"/>
      <c r="E198" s="34" t="s">
        <v>161</v>
      </c>
      <c r="F198" s="31">
        <v>2021</v>
      </c>
      <c r="G198" s="32">
        <f t="shared" si="21"/>
        <v>48500</v>
      </c>
      <c r="H198" s="93">
        <v>0</v>
      </c>
      <c r="I198" s="32">
        <v>48500</v>
      </c>
      <c r="J198" s="127"/>
      <c r="K198" s="100">
        <v>2107</v>
      </c>
      <c r="L198" s="110">
        <v>48500</v>
      </c>
      <c r="M198" s="101">
        <f t="shared" si="20"/>
        <v>0</v>
      </c>
      <c r="N198" s="73"/>
      <c r="O198" s="73"/>
      <c r="P198" s="73"/>
      <c r="Q198" s="73"/>
      <c r="R198" s="73"/>
      <c r="S198" s="73"/>
      <c r="T198" s="73"/>
      <c r="U198" s="73"/>
      <c r="V198" s="73"/>
      <c r="W198" s="73"/>
      <c r="X198" s="73"/>
      <c r="Y198" s="73"/>
      <c r="Z198" s="73"/>
      <c r="AA198" s="73"/>
      <c r="AB198" s="73"/>
      <c r="AC198" s="73"/>
      <c r="AD198" s="73"/>
      <c r="AE198" s="73"/>
      <c r="AF198" s="73"/>
      <c r="AG198" s="73"/>
      <c r="AH198" s="73"/>
      <c r="AI198" s="73"/>
      <c r="AJ198" s="73"/>
      <c r="AK198" s="73"/>
      <c r="AL198" s="73"/>
      <c r="AM198" s="73"/>
      <c r="AN198" s="73"/>
      <c r="AO198" s="73"/>
      <c r="AP198" s="73"/>
      <c r="AQ198" s="73"/>
      <c r="AR198" s="73"/>
      <c r="AS198" s="73"/>
      <c r="AT198" s="73"/>
      <c r="AU198" s="73"/>
      <c r="AV198" s="73"/>
      <c r="AW198" s="73"/>
      <c r="AX198" s="73"/>
      <c r="AY198" s="73"/>
      <c r="AZ198" s="73"/>
    </row>
    <row r="199" spans="1:52" s="15" customFormat="1" ht="39.75" customHeight="1" x14ac:dyDescent="0.25">
      <c r="A199" s="249"/>
      <c r="B199" s="252"/>
      <c r="C199" s="249"/>
      <c r="D199" s="252"/>
      <c r="E199" s="34" t="s">
        <v>297</v>
      </c>
      <c r="F199" s="31" t="s">
        <v>184</v>
      </c>
      <c r="G199" s="32">
        <v>67620674</v>
      </c>
      <c r="H199" s="93">
        <v>0</v>
      </c>
      <c r="I199" s="32">
        <v>172720</v>
      </c>
      <c r="J199" s="127"/>
      <c r="K199" s="58">
        <v>2003</v>
      </c>
      <c r="L199" s="108">
        <v>172719.18</v>
      </c>
      <c r="M199" s="57">
        <f t="shared" si="20"/>
        <v>0.82000000000698492</v>
      </c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s="72" customFormat="1" ht="47.25" x14ac:dyDescent="0.25">
      <c r="A200" s="249"/>
      <c r="B200" s="252"/>
      <c r="C200" s="249"/>
      <c r="D200" s="252"/>
      <c r="E200" s="34" t="s">
        <v>296</v>
      </c>
      <c r="F200" s="31">
        <v>2021</v>
      </c>
      <c r="G200" s="32">
        <f t="shared" si="21"/>
        <v>49500</v>
      </c>
      <c r="H200" s="93">
        <v>0</v>
      </c>
      <c r="I200" s="32">
        <v>49500</v>
      </c>
      <c r="J200" s="127"/>
      <c r="K200" s="100">
        <v>2112</v>
      </c>
      <c r="L200" s="110">
        <v>49500</v>
      </c>
      <c r="M200" s="101">
        <f t="shared" si="20"/>
        <v>0</v>
      </c>
      <c r="N200" s="73"/>
      <c r="O200" s="73"/>
      <c r="P200" s="73"/>
      <c r="Q200" s="73"/>
      <c r="R200" s="73"/>
      <c r="S200" s="73"/>
      <c r="T200" s="73"/>
      <c r="U200" s="73"/>
      <c r="V200" s="73"/>
      <c r="W200" s="73"/>
      <c r="X200" s="73"/>
      <c r="Y200" s="73"/>
      <c r="Z200" s="73"/>
      <c r="AA200" s="73"/>
      <c r="AB200" s="73"/>
      <c r="AC200" s="73"/>
      <c r="AD200" s="73"/>
      <c r="AE200" s="73"/>
      <c r="AF200" s="73"/>
      <c r="AG200" s="73"/>
      <c r="AH200" s="73"/>
      <c r="AI200" s="73"/>
      <c r="AJ200" s="73"/>
      <c r="AK200" s="73"/>
      <c r="AL200" s="73"/>
      <c r="AM200" s="73"/>
      <c r="AN200" s="73"/>
      <c r="AO200" s="73"/>
      <c r="AP200" s="73"/>
      <c r="AQ200" s="73"/>
      <c r="AR200" s="73"/>
      <c r="AS200" s="73"/>
      <c r="AT200" s="73"/>
      <c r="AU200" s="73"/>
      <c r="AV200" s="73"/>
      <c r="AW200" s="73"/>
      <c r="AX200" s="73"/>
      <c r="AY200" s="73"/>
      <c r="AZ200" s="73"/>
    </row>
    <row r="201" spans="1:52" s="145" customFormat="1" ht="52.5" customHeight="1" x14ac:dyDescent="0.25">
      <c r="A201" s="249"/>
      <c r="B201" s="252"/>
      <c r="C201" s="249"/>
      <c r="D201" s="252"/>
      <c r="E201" s="34" t="s">
        <v>256</v>
      </c>
      <c r="F201" s="211">
        <v>2021</v>
      </c>
      <c r="G201" s="87">
        <v>13801319</v>
      </c>
      <c r="H201" s="144">
        <v>0</v>
      </c>
      <c r="I201" s="87">
        <v>1645427</v>
      </c>
      <c r="J201" s="147"/>
      <c r="K201" s="59">
        <v>2150</v>
      </c>
      <c r="L201" s="64">
        <f>23369.62+1621190.2+867.18</f>
        <v>1645427</v>
      </c>
      <c r="M201" s="107">
        <f t="shared" si="20"/>
        <v>0</v>
      </c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s="15" customFormat="1" ht="42.75" customHeight="1" x14ac:dyDescent="0.25">
      <c r="A202" s="249"/>
      <c r="B202" s="252"/>
      <c r="C202" s="249"/>
      <c r="D202" s="252"/>
      <c r="E202" s="34" t="s">
        <v>295</v>
      </c>
      <c r="F202" s="31">
        <v>2021</v>
      </c>
      <c r="G202" s="32">
        <v>80066712</v>
      </c>
      <c r="H202" s="93">
        <v>0</v>
      </c>
      <c r="I202" s="32">
        <v>14711356</v>
      </c>
      <c r="J202" s="127"/>
      <c r="K202" s="58">
        <v>2148</v>
      </c>
      <c r="L202" s="108">
        <v>14711355.42</v>
      </c>
      <c r="M202" s="57">
        <f t="shared" si="20"/>
        <v>0.58000000007450581</v>
      </c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s="72" customFormat="1" ht="57.75" customHeight="1" x14ac:dyDescent="0.25">
      <c r="A203" s="249"/>
      <c r="B203" s="252"/>
      <c r="C203" s="249"/>
      <c r="D203" s="252"/>
      <c r="E203" s="34" t="s">
        <v>160</v>
      </c>
      <c r="F203" s="31">
        <v>2021</v>
      </c>
      <c r="G203" s="32">
        <f t="shared" si="21"/>
        <v>889000</v>
      </c>
      <c r="H203" s="93">
        <v>0</v>
      </c>
      <c r="I203" s="32">
        <v>889000</v>
      </c>
      <c r="J203" s="127"/>
      <c r="K203" s="100">
        <v>2113</v>
      </c>
      <c r="L203" s="110">
        <v>889000</v>
      </c>
      <c r="M203" s="101">
        <f t="shared" si="20"/>
        <v>0</v>
      </c>
      <c r="N203" s="73"/>
      <c r="O203" s="73"/>
      <c r="P203" s="73"/>
      <c r="Q203" s="73"/>
      <c r="R203" s="73"/>
      <c r="S203" s="73"/>
      <c r="T203" s="73"/>
      <c r="U203" s="73"/>
      <c r="V203" s="73"/>
      <c r="W203" s="73"/>
      <c r="X203" s="73"/>
      <c r="Y203" s="73"/>
      <c r="Z203" s="73"/>
      <c r="AA203" s="73"/>
      <c r="AB203" s="73"/>
      <c r="AC203" s="73"/>
      <c r="AD203" s="73"/>
      <c r="AE203" s="73"/>
      <c r="AF203" s="73"/>
      <c r="AG203" s="73"/>
      <c r="AH203" s="73"/>
      <c r="AI203" s="73"/>
      <c r="AJ203" s="73"/>
      <c r="AK203" s="73"/>
      <c r="AL203" s="73"/>
      <c r="AM203" s="73"/>
      <c r="AN203" s="73"/>
      <c r="AO203" s="73"/>
      <c r="AP203" s="73"/>
      <c r="AQ203" s="73"/>
      <c r="AR203" s="73"/>
      <c r="AS203" s="73"/>
      <c r="AT203" s="73"/>
      <c r="AU203" s="73"/>
      <c r="AV203" s="73"/>
      <c r="AW203" s="73"/>
      <c r="AX203" s="73"/>
      <c r="AY203" s="73"/>
      <c r="AZ203" s="73"/>
    </row>
    <row r="204" spans="1:52" s="15" customFormat="1" ht="56.25" customHeight="1" x14ac:dyDescent="0.25">
      <c r="A204" s="249"/>
      <c r="B204" s="252"/>
      <c r="C204" s="249"/>
      <c r="D204" s="252"/>
      <c r="E204" s="34" t="s">
        <v>204</v>
      </c>
      <c r="F204" s="31">
        <v>2021</v>
      </c>
      <c r="G204" s="32">
        <v>49667</v>
      </c>
      <c r="H204" s="93">
        <v>0</v>
      </c>
      <c r="I204" s="32">
        <v>49667</v>
      </c>
      <c r="J204" s="127"/>
      <c r="K204" s="58">
        <v>2117</v>
      </c>
      <c r="L204" s="108">
        <v>49666.98</v>
      </c>
      <c r="M204" s="57">
        <f t="shared" si="20"/>
        <v>1.9999999996798579E-2</v>
      </c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s="15" customFormat="1" ht="58.5" customHeight="1" x14ac:dyDescent="0.25">
      <c r="A205" s="249"/>
      <c r="B205" s="252"/>
      <c r="C205" s="249"/>
      <c r="D205" s="252"/>
      <c r="E205" s="34" t="s">
        <v>200</v>
      </c>
      <c r="F205" s="31">
        <v>2021</v>
      </c>
      <c r="G205" s="32">
        <f t="shared" ref="G205" si="22">I205</f>
        <v>49500</v>
      </c>
      <c r="H205" s="93">
        <v>0</v>
      </c>
      <c r="I205" s="32">
        <v>49500</v>
      </c>
      <c r="J205" s="127"/>
      <c r="K205" s="58">
        <v>2096</v>
      </c>
      <c r="L205" s="108">
        <v>49500</v>
      </c>
      <c r="M205" s="57">
        <f t="shared" si="20"/>
        <v>0</v>
      </c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s="145" customFormat="1" ht="49.5" customHeight="1" x14ac:dyDescent="0.25">
      <c r="A206" s="249"/>
      <c r="B206" s="252"/>
      <c r="C206" s="249"/>
      <c r="D206" s="252"/>
      <c r="E206" s="34" t="s">
        <v>255</v>
      </c>
      <c r="F206" s="31">
        <v>2021</v>
      </c>
      <c r="G206" s="87">
        <v>7273000</v>
      </c>
      <c r="H206" s="144">
        <v>0</v>
      </c>
      <c r="I206" s="87">
        <v>7273000</v>
      </c>
      <c r="J206" s="147"/>
      <c r="K206" s="59">
        <v>2149</v>
      </c>
      <c r="L206" s="108">
        <f>2181900+1203432.22+3887667.78</f>
        <v>7273000</v>
      </c>
      <c r="M206" s="107">
        <f t="shared" si="20"/>
        <v>0</v>
      </c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s="15" customFormat="1" ht="61.5" customHeight="1" x14ac:dyDescent="0.25">
      <c r="A207" s="249"/>
      <c r="B207" s="252"/>
      <c r="C207" s="249"/>
      <c r="D207" s="252"/>
      <c r="E207" s="34" t="s">
        <v>286</v>
      </c>
      <c r="F207" s="31">
        <v>2021</v>
      </c>
      <c r="G207" s="32">
        <v>106540</v>
      </c>
      <c r="H207" s="93">
        <v>0</v>
      </c>
      <c r="I207" s="32">
        <f>G207</f>
        <v>106540</v>
      </c>
      <c r="J207" s="127"/>
      <c r="K207" s="58">
        <v>2177</v>
      </c>
      <c r="L207" s="64">
        <v>105539.29</v>
      </c>
      <c r="M207" s="57">
        <f t="shared" si="20"/>
        <v>1000.7100000000064</v>
      </c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s="15" customFormat="1" ht="62.25" customHeight="1" x14ac:dyDescent="0.25">
      <c r="A208" s="249"/>
      <c r="B208" s="252"/>
      <c r="C208" s="249"/>
      <c r="D208" s="252"/>
      <c r="E208" s="34" t="s">
        <v>287</v>
      </c>
      <c r="F208" s="31">
        <v>2021</v>
      </c>
      <c r="G208" s="32">
        <v>30780</v>
      </c>
      <c r="H208" s="93">
        <v>0</v>
      </c>
      <c r="I208" s="32">
        <f>G208</f>
        <v>30780</v>
      </c>
      <c r="J208" s="127"/>
      <c r="K208" s="58">
        <v>2178</v>
      </c>
      <c r="L208" s="64">
        <v>30780</v>
      </c>
      <c r="M208" s="57">
        <f t="shared" si="20"/>
        <v>0</v>
      </c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s="15" customFormat="1" ht="47.25" x14ac:dyDescent="0.25">
      <c r="A209" s="249"/>
      <c r="B209" s="252"/>
      <c r="C209" s="249"/>
      <c r="D209" s="252"/>
      <c r="E209" s="34" t="s">
        <v>212</v>
      </c>
      <c r="F209" s="31">
        <v>2021</v>
      </c>
      <c r="G209" s="32">
        <v>35801</v>
      </c>
      <c r="H209" s="93">
        <v>0</v>
      </c>
      <c r="I209" s="32">
        <v>35801</v>
      </c>
      <c r="J209" s="127"/>
      <c r="K209" s="58">
        <v>2116</v>
      </c>
      <c r="L209" s="108">
        <v>35800.75</v>
      </c>
      <c r="M209" s="57">
        <f t="shared" si="20"/>
        <v>0.25</v>
      </c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s="145" customFormat="1" ht="40.5" customHeight="1" x14ac:dyDescent="0.25">
      <c r="A210" s="249"/>
      <c r="B210" s="252"/>
      <c r="C210" s="249"/>
      <c r="D210" s="252"/>
      <c r="E210" s="34" t="s">
        <v>265</v>
      </c>
      <c r="F210" s="31">
        <v>2021</v>
      </c>
      <c r="G210" s="87">
        <v>1218117</v>
      </c>
      <c r="H210" s="144">
        <v>0</v>
      </c>
      <c r="I210" s="87">
        <f>G210</f>
        <v>1218117</v>
      </c>
      <c r="J210" s="147"/>
      <c r="K210" s="59">
        <v>2154</v>
      </c>
      <c r="L210" s="108">
        <f>453455.17</f>
        <v>453455.17</v>
      </c>
      <c r="M210" s="107">
        <f t="shared" si="20"/>
        <v>764661.83000000007</v>
      </c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s="145" customFormat="1" ht="31.5" x14ac:dyDescent="0.25">
      <c r="A211" s="249"/>
      <c r="B211" s="252"/>
      <c r="C211" s="249"/>
      <c r="D211" s="252"/>
      <c r="E211" s="34" t="s">
        <v>267</v>
      </c>
      <c r="F211" s="31">
        <v>2021</v>
      </c>
      <c r="G211" s="87">
        <f>I211</f>
        <v>299000</v>
      </c>
      <c r="H211" s="144">
        <v>0</v>
      </c>
      <c r="I211" s="87">
        <v>299000</v>
      </c>
      <c r="J211" s="147"/>
      <c r="K211" s="59">
        <v>2155</v>
      </c>
      <c r="L211" s="108">
        <f>89673.94</f>
        <v>89673.94</v>
      </c>
      <c r="M211" s="107">
        <f t="shared" si="20"/>
        <v>209326.06</v>
      </c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s="15" customFormat="1" ht="36.75" customHeight="1" x14ac:dyDescent="0.25">
      <c r="A212" s="249"/>
      <c r="B212" s="252"/>
      <c r="C212" s="249"/>
      <c r="D212" s="252"/>
      <c r="E212" s="34" t="s">
        <v>268</v>
      </c>
      <c r="F212" s="31">
        <v>2021</v>
      </c>
      <c r="G212" s="32">
        <f>I212</f>
        <v>293780</v>
      </c>
      <c r="H212" s="93">
        <v>0</v>
      </c>
      <c r="I212" s="32">
        <v>293780</v>
      </c>
      <c r="J212" s="127"/>
      <c r="K212" s="58">
        <v>2156</v>
      </c>
      <c r="L212" s="64"/>
      <c r="M212" s="57">
        <f t="shared" si="20"/>
        <v>293780</v>
      </c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s="72" customFormat="1" ht="32.25" customHeight="1" x14ac:dyDescent="0.25">
      <c r="A213" s="249"/>
      <c r="B213" s="252"/>
      <c r="C213" s="249"/>
      <c r="D213" s="252"/>
      <c r="E213" s="34" t="s">
        <v>294</v>
      </c>
      <c r="F213" s="31">
        <v>2021</v>
      </c>
      <c r="G213" s="32">
        <f t="shared" ref="G213" si="23">I213</f>
        <v>44500</v>
      </c>
      <c r="H213" s="93">
        <v>0</v>
      </c>
      <c r="I213" s="32">
        <v>44500</v>
      </c>
      <c r="J213" s="127"/>
      <c r="K213" s="100">
        <v>2106</v>
      </c>
      <c r="L213" s="110">
        <v>44500</v>
      </c>
      <c r="M213" s="101">
        <f t="shared" si="20"/>
        <v>0</v>
      </c>
      <c r="N213" s="73"/>
      <c r="O213" s="73"/>
      <c r="P213" s="73"/>
      <c r="Q213" s="73"/>
      <c r="R213" s="73"/>
      <c r="S213" s="73"/>
      <c r="T213" s="73"/>
      <c r="U213" s="73"/>
      <c r="V213" s="73"/>
      <c r="W213" s="73"/>
      <c r="X213" s="73"/>
      <c r="Y213" s="73"/>
      <c r="Z213" s="73"/>
      <c r="AA213" s="73"/>
      <c r="AB213" s="73"/>
      <c r="AC213" s="73"/>
      <c r="AD213" s="73"/>
      <c r="AE213" s="73"/>
      <c r="AF213" s="73"/>
      <c r="AG213" s="73"/>
      <c r="AH213" s="73"/>
      <c r="AI213" s="73"/>
      <c r="AJ213" s="73"/>
      <c r="AK213" s="73"/>
      <c r="AL213" s="73"/>
      <c r="AM213" s="73"/>
      <c r="AN213" s="73"/>
      <c r="AO213" s="73"/>
      <c r="AP213" s="73"/>
      <c r="AQ213" s="73"/>
      <c r="AR213" s="73"/>
      <c r="AS213" s="73"/>
      <c r="AT213" s="73"/>
      <c r="AU213" s="73"/>
      <c r="AV213" s="73"/>
      <c r="AW213" s="73"/>
      <c r="AX213" s="73"/>
      <c r="AY213" s="73"/>
      <c r="AZ213" s="73"/>
    </row>
    <row r="214" spans="1:52" s="15" customFormat="1" ht="37.5" customHeight="1" x14ac:dyDescent="0.25">
      <c r="A214" s="249"/>
      <c r="B214" s="252"/>
      <c r="C214" s="249"/>
      <c r="D214" s="252"/>
      <c r="E214" s="34" t="s">
        <v>288</v>
      </c>
      <c r="F214" s="31">
        <v>2021</v>
      </c>
      <c r="G214" s="32">
        <v>224427</v>
      </c>
      <c r="H214" s="93">
        <v>0</v>
      </c>
      <c r="I214" s="32">
        <v>224427</v>
      </c>
      <c r="J214" s="127"/>
      <c r="K214" s="58">
        <v>2171</v>
      </c>
      <c r="L214" s="64"/>
      <c r="M214" s="57">
        <f t="shared" si="20"/>
        <v>224427</v>
      </c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s="15" customFormat="1" ht="26.25" customHeight="1" x14ac:dyDescent="0.25">
      <c r="A215" s="249"/>
      <c r="B215" s="252"/>
      <c r="C215" s="249"/>
      <c r="D215" s="252"/>
      <c r="E215" s="34" t="s">
        <v>269</v>
      </c>
      <c r="F215" s="31">
        <v>2021</v>
      </c>
      <c r="G215" s="32">
        <f>I215</f>
        <v>289220</v>
      </c>
      <c r="H215" s="93">
        <v>0</v>
      </c>
      <c r="I215" s="32">
        <v>289220</v>
      </c>
      <c r="J215" s="127"/>
      <c r="K215" s="58">
        <v>2157</v>
      </c>
      <c r="L215" s="64"/>
      <c r="M215" s="57">
        <f t="shared" si="20"/>
        <v>289220</v>
      </c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s="15" customFormat="1" ht="37.5" customHeight="1" x14ac:dyDescent="0.25">
      <c r="A216" s="249"/>
      <c r="B216" s="252"/>
      <c r="C216" s="249"/>
      <c r="D216" s="252"/>
      <c r="E216" s="34" t="s">
        <v>285</v>
      </c>
      <c r="F216" s="31">
        <v>2021</v>
      </c>
      <c r="G216" s="32">
        <v>49964</v>
      </c>
      <c r="H216" s="93">
        <v>0</v>
      </c>
      <c r="I216" s="32">
        <v>49964</v>
      </c>
      <c r="J216" s="127"/>
      <c r="K216" s="58">
        <v>2174</v>
      </c>
      <c r="L216" s="108">
        <v>49964</v>
      </c>
      <c r="M216" s="57">
        <f t="shared" si="20"/>
        <v>0</v>
      </c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s="15" customFormat="1" ht="48.75" customHeight="1" x14ac:dyDescent="0.25">
      <c r="A217" s="249"/>
      <c r="B217" s="252"/>
      <c r="C217" s="249"/>
      <c r="D217" s="252"/>
      <c r="E217" s="34" t="s">
        <v>292</v>
      </c>
      <c r="F217" s="31">
        <v>2021</v>
      </c>
      <c r="G217" s="32">
        <v>20000</v>
      </c>
      <c r="H217" s="93">
        <v>0</v>
      </c>
      <c r="I217" s="32">
        <v>20000</v>
      </c>
      <c r="J217" s="127"/>
      <c r="K217" s="58">
        <v>2175</v>
      </c>
      <c r="L217" s="108">
        <v>20000</v>
      </c>
      <c r="M217" s="57">
        <f t="shared" si="20"/>
        <v>0</v>
      </c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s="15" customFormat="1" ht="55.5" customHeight="1" x14ac:dyDescent="0.25">
      <c r="A218" s="249"/>
      <c r="B218" s="252"/>
      <c r="C218" s="249"/>
      <c r="D218" s="252"/>
      <c r="E218" s="34" t="s">
        <v>291</v>
      </c>
      <c r="F218" s="31">
        <v>2021</v>
      </c>
      <c r="G218" s="32">
        <v>35000</v>
      </c>
      <c r="H218" s="93">
        <v>0</v>
      </c>
      <c r="I218" s="32">
        <v>35000</v>
      </c>
      <c r="J218" s="127"/>
      <c r="K218" s="58">
        <v>2176</v>
      </c>
      <c r="L218" s="108">
        <v>35000</v>
      </c>
      <c r="M218" s="57">
        <f t="shared" si="20"/>
        <v>0</v>
      </c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s="15" customFormat="1" ht="18.75" customHeight="1" x14ac:dyDescent="0.25">
      <c r="A219" s="230" t="s">
        <v>145</v>
      </c>
      <c r="B219" s="231"/>
      <c r="C219" s="231"/>
      <c r="D219" s="231"/>
      <c r="E219" s="231"/>
      <c r="F219" s="231"/>
      <c r="G219" s="231"/>
      <c r="H219" s="231"/>
      <c r="I219" s="231"/>
      <c r="J219" s="232"/>
      <c r="K219" s="116"/>
      <c r="L219" s="117"/>
      <c r="M219" s="118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s="15" customFormat="1" ht="48.75" customHeight="1" x14ac:dyDescent="0.25">
      <c r="A220" s="7" t="s">
        <v>55</v>
      </c>
      <c r="B220" s="38">
        <v>1200</v>
      </c>
      <c r="C220" s="7" t="s">
        <v>54</v>
      </c>
      <c r="D220" s="30" t="s">
        <v>63</v>
      </c>
      <c r="E220" s="16" t="s">
        <v>10</v>
      </c>
      <c r="F220" s="31">
        <v>2021</v>
      </c>
      <c r="G220" s="32">
        <v>0</v>
      </c>
      <c r="H220" s="93">
        <v>0</v>
      </c>
      <c r="I220" s="32">
        <v>640541</v>
      </c>
      <c r="J220" s="33"/>
      <c r="K220" s="58">
        <v>2043</v>
      </c>
      <c r="L220" s="64"/>
      <c r="M220" s="57">
        <f>I220-L220</f>
        <v>640541</v>
      </c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s="15" customFormat="1" ht="68.25" customHeight="1" x14ac:dyDescent="0.25">
      <c r="A221" s="190" t="s">
        <v>298</v>
      </c>
      <c r="B221" s="38">
        <v>1210</v>
      </c>
      <c r="C221" s="190" t="s">
        <v>54</v>
      </c>
      <c r="D221" s="187" t="s">
        <v>299</v>
      </c>
      <c r="E221" s="16" t="s">
        <v>10</v>
      </c>
      <c r="F221" s="31">
        <v>2021</v>
      </c>
      <c r="G221" s="32">
        <v>0</v>
      </c>
      <c r="H221" s="93">
        <v>0</v>
      </c>
      <c r="I221" s="32">
        <f>143381+238301</f>
        <v>381682</v>
      </c>
      <c r="J221" s="33"/>
      <c r="K221" s="58">
        <v>2043</v>
      </c>
      <c r="L221" s="64"/>
      <c r="M221" s="57">
        <f>I221-L221</f>
        <v>381682</v>
      </c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s="15" customFormat="1" ht="45" customHeight="1" x14ac:dyDescent="0.25">
      <c r="A222" s="233" t="s">
        <v>65</v>
      </c>
      <c r="B222" s="228">
        <v>7368</v>
      </c>
      <c r="C222" s="233" t="s">
        <v>5</v>
      </c>
      <c r="D222" s="228" t="s">
        <v>66</v>
      </c>
      <c r="E222" s="16" t="s">
        <v>166</v>
      </c>
      <c r="F222" s="31" t="s">
        <v>184</v>
      </c>
      <c r="G222" s="32">
        <v>67620674</v>
      </c>
      <c r="H222" s="93">
        <v>0.3</v>
      </c>
      <c r="I222" s="32">
        <v>22754622</v>
      </c>
      <c r="J222" s="33"/>
      <c r="K222" s="58">
        <v>2044</v>
      </c>
      <c r="L222" s="64">
        <f>2000000+3232751.68+306242.8+3136947.48+0.5+3927219.77+1467744.48</f>
        <v>14070906.709999999</v>
      </c>
      <c r="M222" s="57">
        <f>I222-L222</f>
        <v>8683715.290000001</v>
      </c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s="15" customFormat="1" ht="45" customHeight="1" x14ac:dyDescent="0.25">
      <c r="A223" s="234"/>
      <c r="B223" s="229"/>
      <c r="C223" s="234"/>
      <c r="D223" s="229"/>
      <c r="E223" s="16" t="s">
        <v>334</v>
      </c>
      <c r="F223" s="31">
        <v>2021</v>
      </c>
      <c r="G223" s="32">
        <v>7500000</v>
      </c>
      <c r="H223" s="93">
        <v>0</v>
      </c>
      <c r="I223" s="32">
        <v>7500000</v>
      </c>
      <c r="J223" s="33"/>
      <c r="K223" s="58">
        <v>2180</v>
      </c>
      <c r="L223" s="64"/>
      <c r="M223" s="57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s="145" customFormat="1" ht="47.25" x14ac:dyDescent="0.2">
      <c r="A224" s="195" t="s">
        <v>219</v>
      </c>
      <c r="B224" s="45">
        <v>7363</v>
      </c>
      <c r="C224" s="190" t="s">
        <v>5</v>
      </c>
      <c r="D224" s="191" t="s">
        <v>57</v>
      </c>
      <c r="E224" s="16" t="s">
        <v>306</v>
      </c>
      <c r="F224" s="31">
        <v>2021</v>
      </c>
      <c r="G224" s="87">
        <v>3267358</v>
      </c>
      <c r="H224" s="144">
        <v>0</v>
      </c>
      <c r="I224" s="87">
        <v>1728000</v>
      </c>
      <c r="J224" s="201"/>
      <c r="K224" s="59">
        <v>2120</v>
      </c>
      <c r="L224" s="63">
        <v>870000</v>
      </c>
      <c r="M224" s="107">
        <f t="shared" ref="M224:M234" si="24">I224-L224</f>
        <v>858000</v>
      </c>
    </row>
    <row r="225" spans="1:52" s="145" customFormat="1" ht="31.5" x14ac:dyDescent="0.25">
      <c r="A225" s="243" t="s">
        <v>223</v>
      </c>
      <c r="B225" s="241">
        <v>1061</v>
      </c>
      <c r="C225" s="233" t="s">
        <v>224</v>
      </c>
      <c r="D225" s="228" t="s">
        <v>225</v>
      </c>
      <c r="E225" s="16" t="s">
        <v>222</v>
      </c>
      <c r="F225" s="31">
        <v>2021</v>
      </c>
      <c r="G225" s="87">
        <v>295000</v>
      </c>
      <c r="H225" s="144">
        <v>0</v>
      </c>
      <c r="I225" s="87">
        <v>295000</v>
      </c>
      <c r="J225" s="31"/>
      <c r="K225" s="146">
        <v>2122</v>
      </c>
      <c r="L225" s="108">
        <f>88408.84+206287.84</f>
        <v>294696.68</v>
      </c>
      <c r="M225" s="107">
        <f t="shared" si="24"/>
        <v>303.32000000000698</v>
      </c>
    </row>
    <row r="226" spans="1:52" s="145" customFormat="1" ht="31.5" x14ac:dyDescent="0.25">
      <c r="A226" s="244"/>
      <c r="B226" s="246"/>
      <c r="C226" s="247"/>
      <c r="D226" s="248"/>
      <c r="E226" s="16" t="s">
        <v>226</v>
      </c>
      <c r="F226" s="31">
        <v>2021</v>
      </c>
      <c r="G226" s="87">
        <v>250000</v>
      </c>
      <c r="H226" s="144">
        <v>0</v>
      </c>
      <c r="I226" s="87">
        <v>250000</v>
      </c>
      <c r="J226" s="31"/>
      <c r="K226" s="146">
        <v>2123</v>
      </c>
      <c r="L226" s="108">
        <f>71847.32+167644.47+5241.57+4958.02</f>
        <v>249691.38</v>
      </c>
      <c r="M226" s="107">
        <f t="shared" si="24"/>
        <v>308.61999999999534</v>
      </c>
    </row>
    <row r="227" spans="1:52" s="145" customFormat="1" ht="31.5" x14ac:dyDescent="0.25">
      <c r="A227" s="244"/>
      <c r="B227" s="246"/>
      <c r="C227" s="247"/>
      <c r="D227" s="248"/>
      <c r="E227" s="16" t="s">
        <v>227</v>
      </c>
      <c r="F227" s="31">
        <v>2021</v>
      </c>
      <c r="G227" s="87">
        <v>419000</v>
      </c>
      <c r="H227" s="144">
        <v>0</v>
      </c>
      <c r="I227" s="87">
        <v>419000</v>
      </c>
      <c r="J227" s="31"/>
      <c r="K227" s="146">
        <v>2124</v>
      </c>
      <c r="L227" s="108">
        <f>5700+123510.24+289789.76</f>
        <v>419000</v>
      </c>
      <c r="M227" s="107">
        <f t="shared" si="24"/>
        <v>0</v>
      </c>
    </row>
    <row r="228" spans="1:52" s="145" customFormat="1" ht="31.5" x14ac:dyDescent="0.25">
      <c r="A228" s="244"/>
      <c r="B228" s="246"/>
      <c r="C228" s="247"/>
      <c r="D228" s="248"/>
      <c r="E228" s="16" t="s">
        <v>228</v>
      </c>
      <c r="F228" s="31">
        <v>2021</v>
      </c>
      <c r="G228" s="87">
        <v>342000</v>
      </c>
      <c r="H228" s="144">
        <v>0</v>
      </c>
      <c r="I228" s="87">
        <v>342000</v>
      </c>
      <c r="J228" s="31"/>
      <c r="K228" s="146">
        <v>2125</v>
      </c>
      <c r="L228" s="108">
        <f>5400+100523.17+236076.83</f>
        <v>342000</v>
      </c>
      <c r="M228" s="107">
        <f t="shared" si="24"/>
        <v>0</v>
      </c>
    </row>
    <row r="229" spans="1:52" s="145" customFormat="1" ht="31.5" x14ac:dyDescent="0.25">
      <c r="A229" s="244"/>
      <c r="B229" s="246"/>
      <c r="C229" s="247"/>
      <c r="D229" s="248"/>
      <c r="E229" s="16" t="s">
        <v>229</v>
      </c>
      <c r="F229" s="31">
        <v>2021</v>
      </c>
      <c r="G229" s="87">
        <v>260000</v>
      </c>
      <c r="H229" s="144">
        <v>0</v>
      </c>
      <c r="I229" s="87">
        <v>260000</v>
      </c>
      <c r="J229" s="31"/>
      <c r="K229" s="146">
        <v>2126</v>
      </c>
      <c r="L229" s="108">
        <f>77995.76+181990.72</f>
        <v>259986.47999999998</v>
      </c>
      <c r="M229" s="107">
        <f t="shared" si="24"/>
        <v>13.520000000018626</v>
      </c>
    </row>
    <row r="230" spans="1:52" s="145" customFormat="1" ht="31.5" x14ac:dyDescent="0.25">
      <c r="A230" s="244"/>
      <c r="B230" s="246"/>
      <c r="C230" s="247"/>
      <c r="D230" s="248"/>
      <c r="E230" s="16" t="s">
        <v>230</v>
      </c>
      <c r="F230" s="31">
        <v>2021</v>
      </c>
      <c r="G230" s="87">
        <v>840000</v>
      </c>
      <c r="H230" s="144">
        <v>0</v>
      </c>
      <c r="I230" s="87">
        <v>840000</v>
      </c>
      <c r="J230" s="201"/>
      <c r="K230" s="146">
        <v>2127</v>
      </c>
      <c r="L230" s="64">
        <f>251731.81+587375.21</f>
        <v>839107.02</v>
      </c>
      <c r="M230" s="107">
        <f t="shared" si="24"/>
        <v>892.97999999998137</v>
      </c>
    </row>
    <row r="231" spans="1:52" s="145" customFormat="1" ht="18.75" x14ac:dyDescent="0.25">
      <c r="A231" s="245"/>
      <c r="B231" s="242"/>
      <c r="C231" s="234"/>
      <c r="D231" s="229"/>
      <c r="E231" s="16" t="s">
        <v>92</v>
      </c>
      <c r="F231" s="31">
        <v>2021</v>
      </c>
      <c r="G231" s="87">
        <v>0</v>
      </c>
      <c r="H231" s="144">
        <v>0</v>
      </c>
      <c r="I231" s="87">
        <v>683265</v>
      </c>
      <c r="J231" s="31"/>
      <c r="K231" s="146">
        <v>2160</v>
      </c>
      <c r="L231" s="207">
        <f>33330+16665+99990+49998+99987+99990+66660</f>
        <v>466620</v>
      </c>
      <c r="M231" s="107">
        <f t="shared" si="24"/>
        <v>216645</v>
      </c>
    </row>
    <row r="232" spans="1:52" s="15" customFormat="1" ht="63" x14ac:dyDescent="0.25">
      <c r="A232" s="126" t="s">
        <v>262</v>
      </c>
      <c r="B232" s="125">
        <v>1182</v>
      </c>
      <c r="C232" s="133" t="s">
        <v>54</v>
      </c>
      <c r="D232" s="124" t="s">
        <v>263</v>
      </c>
      <c r="E232" s="16" t="s">
        <v>92</v>
      </c>
      <c r="F232" s="31">
        <v>2021</v>
      </c>
      <c r="G232" s="32">
        <v>0</v>
      </c>
      <c r="H232" s="93">
        <v>0</v>
      </c>
      <c r="I232" s="32">
        <v>546962</v>
      </c>
      <c r="J232" s="33"/>
      <c r="K232" s="74">
        <v>2153</v>
      </c>
      <c r="L232" s="64">
        <f>182312.28+6300+62698+262234.96+12750+300</f>
        <v>526595.24</v>
      </c>
      <c r="M232" s="57">
        <f t="shared" si="24"/>
        <v>20366.760000000009</v>
      </c>
    </row>
    <row r="233" spans="1:52" ht="31.5" x14ac:dyDescent="0.25">
      <c r="A233" s="81" t="s">
        <v>175</v>
      </c>
      <c r="B233" s="35"/>
      <c r="C233" s="35"/>
      <c r="D233" s="36" t="s">
        <v>147</v>
      </c>
      <c r="E233" s="37"/>
      <c r="F233" s="44" t="s">
        <v>7</v>
      </c>
      <c r="G233" s="84" t="s">
        <v>7</v>
      </c>
      <c r="H233" s="84" t="s">
        <v>7</v>
      </c>
      <c r="I233" s="84">
        <f>I234+I236</f>
        <v>8581950</v>
      </c>
      <c r="J233" s="90" t="s">
        <v>7</v>
      </c>
      <c r="K233" s="103"/>
      <c r="L233" s="200"/>
      <c r="M233" s="101">
        <f t="shared" si="24"/>
        <v>8581950</v>
      </c>
    </row>
    <row r="234" spans="1:52" s="15" customFormat="1" ht="47.25" x14ac:dyDescent="0.25">
      <c r="A234" s="75" t="s">
        <v>148</v>
      </c>
      <c r="B234" s="45">
        <v>7323</v>
      </c>
      <c r="C234" s="134" t="s">
        <v>24</v>
      </c>
      <c r="D234" s="76" t="s">
        <v>149</v>
      </c>
      <c r="E234" s="34" t="s">
        <v>162</v>
      </c>
      <c r="F234" s="31">
        <v>2021</v>
      </c>
      <c r="G234" s="87">
        <f>I234</f>
        <v>49950</v>
      </c>
      <c r="H234" s="93">
        <v>0</v>
      </c>
      <c r="I234" s="87">
        <v>49950</v>
      </c>
      <c r="J234" s="33"/>
      <c r="K234" s="58">
        <v>2107</v>
      </c>
      <c r="L234" s="108">
        <v>49950</v>
      </c>
      <c r="M234" s="57">
        <f t="shared" si="24"/>
        <v>0</v>
      </c>
    </row>
    <row r="235" spans="1:52" s="15" customFormat="1" ht="18.75" customHeight="1" x14ac:dyDescent="0.25">
      <c r="A235" s="230" t="s">
        <v>145</v>
      </c>
      <c r="B235" s="231"/>
      <c r="C235" s="231"/>
      <c r="D235" s="231"/>
      <c r="E235" s="231"/>
      <c r="F235" s="231"/>
      <c r="G235" s="231"/>
      <c r="H235" s="231"/>
      <c r="I235" s="231"/>
      <c r="J235" s="232"/>
      <c r="K235" s="116"/>
      <c r="L235" s="168"/>
      <c r="M235" s="118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s="145" customFormat="1" ht="47.25" x14ac:dyDescent="0.2">
      <c r="A236" s="136" t="s">
        <v>220</v>
      </c>
      <c r="B236" s="45">
        <v>7363</v>
      </c>
      <c r="C236" s="140" t="s">
        <v>5</v>
      </c>
      <c r="D236" s="135" t="s">
        <v>57</v>
      </c>
      <c r="E236" s="16" t="s">
        <v>221</v>
      </c>
      <c r="F236" s="31">
        <v>2021</v>
      </c>
      <c r="G236" s="87">
        <v>9297776</v>
      </c>
      <c r="H236" s="144">
        <v>0</v>
      </c>
      <c r="I236" s="87">
        <v>8532000</v>
      </c>
      <c r="J236" s="31"/>
      <c r="K236" s="59">
        <v>2121</v>
      </c>
      <c r="L236" s="107">
        <v>2430904</v>
      </c>
      <c r="M236" s="107">
        <f>I236-L236</f>
        <v>6101096</v>
      </c>
    </row>
    <row r="237" spans="1:52" s="5" customFormat="1" ht="31.5" x14ac:dyDescent="0.25">
      <c r="A237" s="80">
        <v>1000000</v>
      </c>
      <c r="B237" s="35"/>
      <c r="C237" s="35"/>
      <c r="D237" s="36" t="s">
        <v>72</v>
      </c>
      <c r="E237" s="37"/>
      <c r="F237" s="44" t="s">
        <v>7</v>
      </c>
      <c r="G237" s="84" t="s">
        <v>7</v>
      </c>
      <c r="H237" s="84" t="s">
        <v>7</v>
      </c>
      <c r="I237" s="84">
        <f>SUM(I238:I240)</f>
        <v>314095</v>
      </c>
      <c r="J237" s="90" t="s">
        <v>7</v>
      </c>
      <c r="K237" s="113"/>
      <c r="L237" s="162"/>
      <c r="M237" s="115"/>
    </row>
    <row r="238" spans="1:52" s="15" customFormat="1" ht="31.5" x14ac:dyDescent="0.25">
      <c r="A238" s="233" t="s">
        <v>89</v>
      </c>
      <c r="B238" s="241">
        <v>4060</v>
      </c>
      <c r="C238" s="241" t="s">
        <v>91</v>
      </c>
      <c r="D238" s="228" t="s">
        <v>90</v>
      </c>
      <c r="E238" s="34" t="s">
        <v>93</v>
      </c>
      <c r="F238" s="31">
        <v>2021</v>
      </c>
      <c r="G238" s="87">
        <f>I238</f>
        <v>184750</v>
      </c>
      <c r="H238" s="93">
        <v>0</v>
      </c>
      <c r="I238" s="87">
        <v>184750</v>
      </c>
      <c r="J238" s="33"/>
      <c r="K238" s="58">
        <v>2054</v>
      </c>
      <c r="L238" s="107">
        <v>119499</v>
      </c>
      <c r="M238" s="57">
        <f t="shared" ref="M238:M243" si="25">I238-L238</f>
        <v>65251</v>
      </c>
    </row>
    <row r="239" spans="1:52" s="15" customFormat="1" ht="31.5" x14ac:dyDescent="0.25">
      <c r="A239" s="234"/>
      <c r="B239" s="242"/>
      <c r="C239" s="242"/>
      <c r="D239" s="229"/>
      <c r="E239" s="34" t="s">
        <v>159</v>
      </c>
      <c r="F239" s="31">
        <v>2021</v>
      </c>
      <c r="G239" s="87">
        <f>I239</f>
        <v>49356</v>
      </c>
      <c r="H239" s="93">
        <v>0</v>
      </c>
      <c r="I239" s="87">
        <v>49356</v>
      </c>
      <c r="J239" s="33"/>
      <c r="K239" s="74">
        <v>2111</v>
      </c>
      <c r="L239" s="107"/>
      <c r="M239" s="57">
        <f t="shared" si="25"/>
        <v>49356</v>
      </c>
    </row>
    <row r="240" spans="1:52" s="15" customFormat="1" ht="18.75" x14ac:dyDescent="0.25">
      <c r="A240" s="94" t="s">
        <v>206</v>
      </c>
      <c r="B240" s="95">
        <v>4030</v>
      </c>
      <c r="C240" s="95" t="s">
        <v>208</v>
      </c>
      <c r="D240" s="96" t="s">
        <v>207</v>
      </c>
      <c r="E240" s="34" t="s">
        <v>10</v>
      </c>
      <c r="F240" s="31">
        <v>2021</v>
      </c>
      <c r="G240" s="87">
        <v>0</v>
      </c>
      <c r="H240" s="93">
        <v>0</v>
      </c>
      <c r="I240" s="87">
        <v>79989</v>
      </c>
      <c r="J240" s="33"/>
      <c r="K240" s="74">
        <v>2119</v>
      </c>
      <c r="L240" s="107">
        <v>64999</v>
      </c>
      <c r="M240" s="57">
        <f t="shared" si="25"/>
        <v>14990</v>
      </c>
    </row>
    <row r="241" spans="1:52" ht="15.75" x14ac:dyDescent="0.25">
      <c r="A241" s="80">
        <v>1100000</v>
      </c>
      <c r="B241" s="35"/>
      <c r="C241" s="35"/>
      <c r="D241" s="36" t="s">
        <v>83</v>
      </c>
      <c r="E241" s="37"/>
      <c r="F241" s="44" t="s">
        <v>7</v>
      </c>
      <c r="G241" s="84" t="s">
        <v>7</v>
      </c>
      <c r="H241" s="84" t="s">
        <v>7</v>
      </c>
      <c r="I241" s="84">
        <f>SUM(I242:I243)</f>
        <v>76400</v>
      </c>
      <c r="J241" s="90" t="s">
        <v>7</v>
      </c>
      <c r="K241" s="70"/>
      <c r="L241" s="111"/>
      <c r="M241" s="57">
        <f t="shared" si="25"/>
        <v>76400</v>
      </c>
    </row>
    <row r="242" spans="1:52" s="15" customFormat="1" ht="31.5" x14ac:dyDescent="0.2">
      <c r="A242" s="75" t="s">
        <v>150</v>
      </c>
      <c r="B242" s="45" t="s">
        <v>68</v>
      </c>
      <c r="C242" s="8" t="s">
        <v>16</v>
      </c>
      <c r="D242" s="76" t="s">
        <v>70</v>
      </c>
      <c r="E242" s="16" t="s">
        <v>10</v>
      </c>
      <c r="F242" s="31">
        <v>2021</v>
      </c>
      <c r="G242" s="87">
        <v>0</v>
      </c>
      <c r="H242" s="93">
        <v>0</v>
      </c>
      <c r="I242" s="87">
        <v>18000</v>
      </c>
      <c r="J242" s="33"/>
      <c r="K242" s="58">
        <v>2108</v>
      </c>
      <c r="L242" s="107">
        <v>18000</v>
      </c>
      <c r="M242" s="57">
        <f t="shared" si="25"/>
        <v>0</v>
      </c>
      <c r="N242" s="15" t="s">
        <v>258</v>
      </c>
    </row>
    <row r="243" spans="1:52" s="15" customFormat="1" ht="18.75" x14ac:dyDescent="0.2">
      <c r="A243" s="128" t="s">
        <v>84</v>
      </c>
      <c r="B243" s="129">
        <v>5041</v>
      </c>
      <c r="C243" s="53" t="s">
        <v>86</v>
      </c>
      <c r="D243" s="54" t="s">
        <v>85</v>
      </c>
      <c r="E243" s="16" t="s">
        <v>10</v>
      </c>
      <c r="F243" s="31">
        <v>2021</v>
      </c>
      <c r="G243" s="32">
        <v>0</v>
      </c>
      <c r="H243" s="93">
        <v>0</v>
      </c>
      <c r="I243" s="32">
        <f>18000+40400</f>
        <v>58400</v>
      </c>
      <c r="J243" s="33"/>
      <c r="K243" s="58">
        <v>2109</v>
      </c>
      <c r="L243" s="107">
        <f>18000+40400</f>
        <v>58400</v>
      </c>
      <c r="M243" s="57">
        <f t="shared" si="25"/>
        <v>0</v>
      </c>
      <c r="N243" s="15" t="s">
        <v>258</v>
      </c>
    </row>
    <row r="244" spans="1:52" s="5" customFormat="1" ht="18.75" x14ac:dyDescent="0.25">
      <c r="A244" s="80">
        <v>3700000</v>
      </c>
      <c r="B244" s="46"/>
      <c r="C244" s="35"/>
      <c r="D244" s="36" t="s">
        <v>88</v>
      </c>
      <c r="E244" s="37"/>
      <c r="F244" s="44" t="s">
        <v>7</v>
      </c>
      <c r="G244" s="84" t="s">
        <v>7</v>
      </c>
      <c r="H244" s="84" t="s">
        <v>7</v>
      </c>
      <c r="I244" s="84">
        <f>I245</f>
        <v>134000</v>
      </c>
      <c r="J244" s="90" t="s">
        <v>7</v>
      </c>
      <c r="K244" s="113"/>
      <c r="L244" s="114"/>
      <c r="M244" s="115"/>
    </row>
    <row r="245" spans="1:52" s="145" customFormat="1" ht="45" customHeight="1" x14ac:dyDescent="0.25">
      <c r="A245" s="140" t="s">
        <v>87</v>
      </c>
      <c r="B245" s="45" t="s">
        <v>68</v>
      </c>
      <c r="C245" s="136" t="s">
        <v>16</v>
      </c>
      <c r="D245" s="135" t="s">
        <v>70</v>
      </c>
      <c r="E245" s="34" t="s">
        <v>92</v>
      </c>
      <c r="F245" s="31">
        <v>2021</v>
      </c>
      <c r="G245" s="87">
        <v>0</v>
      </c>
      <c r="H245" s="144">
        <v>0</v>
      </c>
      <c r="I245" s="87">
        <f>49000+50000+35000</f>
        <v>134000</v>
      </c>
      <c r="J245" s="31"/>
      <c r="K245" s="59">
        <v>2053</v>
      </c>
      <c r="L245" s="108">
        <f>87498+11460+18800</f>
        <v>117758</v>
      </c>
      <c r="M245" s="107">
        <f>I245-L245</f>
        <v>16242</v>
      </c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ht="20.25" x14ac:dyDescent="0.3">
      <c r="A246" s="3" t="s">
        <v>2</v>
      </c>
      <c r="B246" s="3" t="s">
        <v>2</v>
      </c>
      <c r="C246" s="3" t="s">
        <v>2</v>
      </c>
      <c r="D246" s="48" t="s">
        <v>21</v>
      </c>
      <c r="E246" s="3" t="s">
        <v>2</v>
      </c>
      <c r="F246" s="3" t="s">
        <v>2</v>
      </c>
      <c r="G246" s="3" t="s">
        <v>2</v>
      </c>
      <c r="H246" s="3" t="s">
        <v>2</v>
      </c>
      <c r="I246" s="88">
        <f>I99+I7</f>
        <v>363576054.71000004</v>
      </c>
      <c r="J246" s="3" t="s">
        <v>2</v>
      </c>
      <c r="K246" s="70"/>
      <c r="L246" s="71"/>
      <c r="M246" s="70"/>
    </row>
    <row r="247" spans="1:52" x14ac:dyDescent="0.2">
      <c r="B247" s="22"/>
      <c r="C247" s="22"/>
      <c r="D247" s="22"/>
      <c r="E247" s="22"/>
      <c r="F247" s="22"/>
      <c r="G247" s="22"/>
      <c r="H247" s="22"/>
      <c r="I247" s="23"/>
      <c r="J247" s="22"/>
      <c r="M247" s="143"/>
    </row>
    <row r="248" spans="1:52" ht="18.75" x14ac:dyDescent="0.3">
      <c r="B248" s="22"/>
      <c r="C248" s="227" t="s">
        <v>74</v>
      </c>
      <c r="D248" s="227"/>
      <c r="E248" s="227"/>
      <c r="F248" s="227"/>
      <c r="G248" s="227"/>
      <c r="H248" s="78"/>
      <c r="I248" s="23"/>
      <c r="J248" s="22"/>
    </row>
    <row r="249" spans="1:52" x14ac:dyDescent="0.2">
      <c r="B249" s="22"/>
      <c r="C249" s="22"/>
      <c r="D249" s="22"/>
      <c r="E249" s="22"/>
      <c r="F249" s="22"/>
      <c r="G249" s="22"/>
      <c r="H249" s="22"/>
      <c r="I249" s="23"/>
      <c r="J249" s="22"/>
    </row>
    <row r="250" spans="1:52" x14ac:dyDescent="0.2">
      <c r="B250" s="22"/>
      <c r="C250" s="22"/>
      <c r="D250" s="22"/>
      <c r="E250" s="22"/>
      <c r="F250" s="22"/>
      <c r="G250" s="25"/>
      <c r="H250" s="25"/>
      <c r="I250" s="24"/>
      <c r="J250" s="22"/>
    </row>
    <row r="251" spans="1:52" ht="20.25" x14ac:dyDescent="0.3">
      <c r="B251" s="22"/>
      <c r="C251" s="22"/>
      <c r="D251" s="22"/>
      <c r="E251" s="26"/>
      <c r="F251" s="27"/>
      <c r="G251" s="28"/>
      <c r="H251" s="28"/>
      <c r="I251" s="29"/>
      <c r="J251" s="27"/>
    </row>
    <row r="252" spans="1:52" x14ac:dyDescent="0.2">
      <c r="E252" s="15"/>
      <c r="F252" s="15"/>
      <c r="G252" s="15"/>
      <c r="H252" s="15"/>
      <c r="I252" s="20"/>
      <c r="J252" s="15"/>
    </row>
    <row r="253" spans="1:52" x14ac:dyDescent="0.2">
      <c r="E253" s="15"/>
      <c r="F253" s="15"/>
      <c r="G253" s="21"/>
      <c r="H253" s="21"/>
      <c r="I253" s="20"/>
      <c r="J253" s="15"/>
    </row>
    <row r="254" spans="1:52" ht="18.75" x14ac:dyDescent="0.3">
      <c r="C254" s="226"/>
      <c r="D254" s="226"/>
      <c r="E254" s="226"/>
      <c r="F254" s="226"/>
      <c r="G254" s="226"/>
      <c r="H254" s="77"/>
      <c r="I254" s="20"/>
      <c r="J254" s="15"/>
    </row>
  </sheetData>
  <autoFilter ref="A8:AZ246"/>
  <mergeCells count="130">
    <mergeCell ref="K97:M97"/>
    <mergeCell ref="C85:C88"/>
    <mergeCell ref="D85:D88"/>
    <mergeCell ref="A33:A40"/>
    <mergeCell ref="B33:B40"/>
    <mergeCell ref="C33:C40"/>
    <mergeCell ref="A63:A83"/>
    <mergeCell ref="B63:B83"/>
    <mergeCell ref="C63:C83"/>
    <mergeCell ref="D63:D83"/>
    <mergeCell ref="A57:C57"/>
    <mergeCell ref="D33:D40"/>
    <mergeCell ref="A48:A53"/>
    <mergeCell ref="B48:B53"/>
    <mergeCell ref="C48:C53"/>
    <mergeCell ref="D48:D53"/>
    <mergeCell ref="A59:C59"/>
    <mergeCell ref="A93:A94"/>
    <mergeCell ref="B93:B94"/>
    <mergeCell ref="C93:C94"/>
    <mergeCell ref="D93:D94"/>
    <mergeCell ref="A99:E99"/>
    <mergeCell ref="C119:C122"/>
    <mergeCell ref="A177:A179"/>
    <mergeCell ref="A103:A106"/>
    <mergeCell ref="A155:A176"/>
    <mergeCell ref="B155:B176"/>
    <mergeCell ref="C155:C176"/>
    <mergeCell ref="D155:D176"/>
    <mergeCell ref="C20:C27"/>
    <mergeCell ref="D20:D27"/>
    <mergeCell ref="A54:C54"/>
    <mergeCell ref="B41:B43"/>
    <mergeCell ref="C41:C43"/>
    <mergeCell ref="D41:D43"/>
    <mergeCell ref="A47:C47"/>
    <mergeCell ref="A84:J84"/>
    <mergeCell ref="A85:A88"/>
    <mergeCell ref="B85:B88"/>
    <mergeCell ref="B20:B27"/>
    <mergeCell ref="A41:A43"/>
    <mergeCell ref="A44:A46"/>
    <mergeCell ref="B44:B46"/>
    <mergeCell ref="C44:C46"/>
    <mergeCell ref="D44:D46"/>
    <mergeCell ref="K180:M180"/>
    <mergeCell ref="A118:C118"/>
    <mergeCell ref="C108:C109"/>
    <mergeCell ref="B108:B109"/>
    <mergeCell ref="D108:D109"/>
    <mergeCell ref="F108:F109"/>
    <mergeCell ref="G108:G109"/>
    <mergeCell ref="H108:H109"/>
    <mergeCell ref="E108:E109"/>
    <mergeCell ref="A108:A109"/>
    <mergeCell ref="D127:D128"/>
    <mergeCell ref="A124:C124"/>
    <mergeCell ref="A126:C126"/>
    <mergeCell ref="C127:C128"/>
    <mergeCell ref="C116:C117"/>
    <mergeCell ref="A116:A117"/>
    <mergeCell ref="B116:B117"/>
    <mergeCell ref="A131:A152"/>
    <mergeCell ref="B131:B152"/>
    <mergeCell ref="A119:A122"/>
    <mergeCell ref="G1:J1"/>
    <mergeCell ref="A4:J4"/>
    <mergeCell ref="A3:J3"/>
    <mergeCell ref="D30:D31"/>
    <mergeCell ref="A7:E7"/>
    <mergeCell ref="A32:C32"/>
    <mergeCell ref="A30:A31"/>
    <mergeCell ref="B30:B31"/>
    <mergeCell ref="C30:C31"/>
    <mergeCell ref="A29:C29"/>
    <mergeCell ref="G2:J2"/>
    <mergeCell ref="A20:A27"/>
    <mergeCell ref="D12:D15"/>
    <mergeCell ref="A17:A18"/>
    <mergeCell ref="B17:B18"/>
    <mergeCell ref="C17:C18"/>
    <mergeCell ref="D17:D18"/>
    <mergeCell ref="A12:A15"/>
    <mergeCell ref="B12:B15"/>
    <mergeCell ref="C12:C15"/>
    <mergeCell ref="A195:A218"/>
    <mergeCell ref="C103:C106"/>
    <mergeCell ref="B177:B179"/>
    <mergeCell ref="C177:C179"/>
    <mergeCell ref="C181:C188"/>
    <mergeCell ref="D181:D188"/>
    <mergeCell ref="D116:D117"/>
    <mergeCell ref="B181:B188"/>
    <mergeCell ref="C131:C152"/>
    <mergeCell ref="D131:D152"/>
    <mergeCell ref="D119:D122"/>
    <mergeCell ref="D103:D106"/>
    <mergeCell ref="D114:J114"/>
    <mergeCell ref="D177:D179"/>
    <mergeCell ref="B119:B122"/>
    <mergeCell ref="B127:B128"/>
    <mergeCell ref="A127:A128"/>
    <mergeCell ref="B195:B218"/>
    <mergeCell ref="C195:C218"/>
    <mergeCell ref="D195:D218"/>
    <mergeCell ref="B103:B106"/>
    <mergeCell ref="D189:J189"/>
    <mergeCell ref="C254:G254"/>
    <mergeCell ref="C248:G248"/>
    <mergeCell ref="D153:D154"/>
    <mergeCell ref="A219:J219"/>
    <mergeCell ref="A153:A154"/>
    <mergeCell ref="B153:B154"/>
    <mergeCell ref="C153:C154"/>
    <mergeCell ref="A191:C191"/>
    <mergeCell ref="A180:C180"/>
    <mergeCell ref="A238:A239"/>
    <mergeCell ref="B238:B239"/>
    <mergeCell ref="C238:C239"/>
    <mergeCell ref="D238:D239"/>
    <mergeCell ref="A235:J235"/>
    <mergeCell ref="A225:A231"/>
    <mergeCell ref="B225:B231"/>
    <mergeCell ref="C225:C231"/>
    <mergeCell ref="D225:D231"/>
    <mergeCell ref="B222:B223"/>
    <mergeCell ref="C222:C223"/>
    <mergeCell ref="D222:D223"/>
    <mergeCell ref="A222:A223"/>
    <mergeCell ref="A181:A188"/>
  </mergeCells>
  <phoneticPr fontId="8" type="noConversion"/>
  <pageMargins left="0.78740157480314965" right="0" top="0" bottom="0" header="0.31496062992125984" footer="0"/>
  <pageSetup paperSize="9" scale="47" orientation="landscape" verticalDpi="0" r:id="rId1"/>
  <rowBreaks count="7" manualBreakCount="7">
    <brk id="30" max="9" man="1"/>
    <brk id="64" max="9" man="1"/>
    <brk id="91" max="9" man="1"/>
    <brk id="123" max="9" man="1"/>
    <brk id="152" max="9" man="1"/>
    <brk id="188" max="9" man="1"/>
    <brk id="21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DB-5</cp:lastModifiedBy>
  <cp:lastPrinted>2021-10-18T12:41:54Z</cp:lastPrinted>
  <dcterms:created xsi:type="dcterms:W3CDTF">2019-11-12T13:23:27Z</dcterms:created>
  <dcterms:modified xsi:type="dcterms:W3CDTF">2021-10-18T12:43:03Z</dcterms:modified>
</cp:coreProperties>
</file>